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" windowWidth="12120" windowHeight="8448"/>
  </bookViews>
  <sheets>
    <sheet name="Fin opg 12" sheetId="1" r:id="rId1"/>
    <sheet name="Sheet2" sheetId="2" r:id="rId2"/>
    <sheet name="Sheet3" sheetId="3" r:id="rId3"/>
  </sheets>
  <definedNames>
    <definedName name="_xlnm.Print_Area" localSheetId="0">'Fin opg 12'!$A$1:$K$205</definedName>
  </definedNames>
  <calcPr calcId="125725"/>
</workbook>
</file>

<file path=xl/calcChain.xml><?xml version="1.0" encoding="utf-8"?>
<calcChain xmlns="http://schemas.openxmlformats.org/spreadsheetml/2006/main">
  <c r="G166" i="1"/>
  <c r="G108"/>
  <c r="G119" s="1"/>
  <c r="G121" s="1"/>
  <c r="G115"/>
  <c r="G54"/>
  <c r="J187" s="1"/>
  <c r="J189" s="1"/>
  <c r="J191" s="1"/>
  <c r="J203" s="1"/>
  <c r="J188"/>
  <c r="J190"/>
  <c r="J197"/>
  <c r="J199"/>
  <c r="J200" s="1"/>
  <c r="G198"/>
  <c r="B128"/>
  <c r="G128" s="1"/>
  <c r="J128" s="1"/>
  <c r="E128"/>
  <c r="A128"/>
  <c r="B129"/>
  <c r="A129"/>
  <c r="A130" s="1"/>
  <c r="A131" s="1"/>
  <c r="A132" s="1"/>
  <c r="A133" s="1"/>
  <c r="A134" s="1"/>
  <c r="A135" s="1"/>
  <c r="A136" s="1"/>
  <c r="A137" s="1"/>
  <c r="B130"/>
  <c r="B131"/>
  <c r="B132"/>
  <c r="B133"/>
  <c r="B134"/>
  <c r="B135"/>
  <c r="B136"/>
  <c r="B137"/>
  <c r="G59"/>
  <c r="J59" s="1"/>
  <c r="A59"/>
  <c r="G60"/>
  <c r="A60"/>
  <c r="G61"/>
  <c r="A61"/>
  <c r="A62" s="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E59"/>
  <c r="B59"/>
  <c r="D59" s="1"/>
  <c r="J24"/>
  <c r="G33"/>
  <c r="G37"/>
  <c r="G38"/>
  <c r="J38" s="1"/>
  <c r="J11"/>
  <c r="G14"/>
  <c r="G16" s="1"/>
  <c r="J16" s="1"/>
  <c r="J20" s="1"/>
  <c r="G15"/>
  <c r="J18"/>
  <c r="J19"/>
  <c r="J5"/>
  <c r="J6"/>
  <c r="J7" s="1"/>
  <c r="E60" l="1"/>
  <c r="J40"/>
  <c r="J63"/>
  <c r="A63"/>
  <c r="A64" s="1"/>
  <c r="A65" s="1"/>
  <c r="J62"/>
  <c r="B60"/>
  <c r="D60" s="1"/>
  <c r="J61"/>
  <c r="J64"/>
  <c r="J60"/>
  <c r="D128"/>
  <c r="D61" l="1"/>
  <c r="E61"/>
  <c r="B61" s="1"/>
  <c r="E129"/>
  <c r="G129" s="1"/>
  <c r="J129" s="1"/>
  <c r="D129"/>
  <c r="A66"/>
  <c r="J65"/>
  <c r="D130" l="1"/>
  <c r="E130"/>
  <c r="G130" s="1"/>
  <c r="J130" s="1"/>
  <c r="A67"/>
  <c r="J66"/>
  <c r="D62"/>
  <c r="E62"/>
  <c r="B62" s="1"/>
  <c r="E63" l="1"/>
  <c r="B63" s="1"/>
  <c r="D63" s="1"/>
  <c r="E131"/>
  <c r="G131" s="1"/>
  <c r="J131" s="1"/>
  <c r="D131"/>
  <c r="A68"/>
  <c r="J67"/>
  <c r="E64" l="1"/>
  <c r="B64" s="1"/>
  <c r="D64" s="1"/>
  <c r="D132"/>
  <c r="E132"/>
  <c r="G132" s="1"/>
  <c r="J132" s="1"/>
  <c r="A69"/>
  <c r="J68"/>
  <c r="D65" l="1"/>
  <c r="E65"/>
  <c r="B65" s="1"/>
  <c r="A70"/>
  <c r="J69"/>
  <c r="E133"/>
  <c r="G133" s="1"/>
  <c r="J133" s="1"/>
  <c r="D133"/>
  <c r="A71" l="1"/>
  <c r="J70"/>
  <c r="D66"/>
  <c r="E66"/>
  <c r="B66" s="1"/>
  <c r="D134"/>
  <c r="E134"/>
  <c r="G134" s="1"/>
  <c r="J134" s="1"/>
  <c r="A72" l="1"/>
  <c r="J71"/>
  <c r="E67"/>
  <c r="B67" s="1"/>
  <c r="D67" s="1"/>
  <c r="E135"/>
  <c r="G135" s="1"/>
  <c r="J135" s="1"/>
  <c r="D135"/>
  <c r="D68" l="1"/>
  <c r="E68"/>
  <c r="B68" s="1"/>
  <c r="A73"/>
  <c r="J72"/>
  <c r="D136"/>
  <c r="E136"/>
  <c r="G136" s="1"/>
  <c r="J136" s="1"/>
  <c r="E137" l="1"/>
  <c r="G137" s="1"/>
  <c r="J137" s="1"/>
  <c r="J139" s="1"/>
  <c r="J174" s="1"/>
  <c r="D137"/>
  <c r="E69"/>
  <c r="B69" s="1"/>
  <c r="D69" s="1"/>
  <c r="A74"/>
  <c r="J73"/>
  <c r="D70" l="1"/>
  <c r="E70"/>
  <c r="B70" s="1"/>
  <c r="A75"/>
  <c r="J74"/>
  <c r="A76" l="1"/>
  <c r="J75"/>
  <c r="E71"/>
  <c r="B71" s="1"/>
  <c r="D71" s="1"/>
  <c r="E72" l="1"/>
  <c r="B72" s="1"/>
  <c r="D72" s="1"/>
  <c r="A77"/>
  <c r="J76"/>
  <c r="E73" l="1"/>
  <c r="B73" s="1"/>
  <c r="D73" s="1"/>
  <c r="A78"/>
  <c r="J77"/>
  <c r="E74" l="1"/>
  <c r="B74" s="1"/>
  <c r="D74" s="1"/>
  <c r="A79"/>
  <c r="J78"/>
  <c r="E75" l="1"/>
  <c r="B75" s="1"/>
  <c r="D75" s="1"/>
  <c r="A80"/>
  <c r="J79"/>
  <c r="E76" l="1"/>
  <c r="B76" s="1"/>
  <c r="D76" s="1"/>
  <c r="A81"/>
  <c r="J80"/>
  <c r="E77" l="1"/>
  <c r="B77" s="1"/>
  <c r="D77" s="1"/>
  <c r="A82"/>
  <c r="J81"/>
  <c r="E78" l="1"/>
  <c r="B78" s="1"/>
  <c r="D78" s="1"/>
  <c r="A83"/>
  <c r="J82"/>
  <c r="E79" l="1"/>
  <c r="B79" s="1"/>
  <c r="D79" s="1"/>
  <c r="A84"/>
  <c r="J83"/>
  <c r="E80" l="1"/>
  <c r="B80" s="1"/>
  <c r="D80" s="1"/>
  <c r="A85"/>
  <c r="J84"/>
  <c r="E81" l="1"/>
  <c r="B81" s="1"/>
  <c r="D81" s="1"/>
  <c r="A86"/>
  <c r="J85"/>
  <c r="E82" l="1"/>
  <c r="B82" s="1"/>
  <c r="D82" s="1"/>
  <c r="J86"/>
  <c r="A87"/>
  <c r="E83" l="1"/>
  <c r="B83" s="1"/>
  <c r="D83" s="1"/>
  <c r="A88"/>
  <c r="J88" s="1"/>
  <c r="J90" s="1"/>
  <c r="J173" s="1"/>
  <c r="J176" s="1"/>
  <c r="J87"/>
  <c r="E84" l="1"/>
  <c r="B84" s="1"/>
  <c r="D84" s="1"/>
  <c r="D85" l="1"/>
  <c r="E85"/>
  <c r="B85" s="1"/>
  <c r="D86" l="1"/>
  <c r="E86"/>
  <c r="B86" s="1"/>
  <c r="E87" l="1"/>
  <c r="B87" s="1"/>
  <c r="D87" s="1"/>
  <c r="E88" l="1"/>
  <c r="B88" s="1"/>
  <c r="D88" s="1"/>
</calcChain>
</file>

<file path=xl/sharedStrings.xml><?xml version="1.0" encoding="utf-8"?>
<sst xmlns="http://schemas.openxmlformats.org/spreadsheetml/2006/main" count="188" uniqueCount="69">
  <si>
    <t>Opgave 12</t>
  </si>
  <si>
    <t>Spørgsmål 1</t>
  </si>
  <si>
    <t>Råvarer</t>
  </si>
  <si>
    <t>=</t>
  </si>
  <si>
    <t>Løn</t>
  </si>
  <si>
    <t>I alt</t>
  </si>
  <si>
    <t>Eller:</t>
  </si>
  <si>
    <t>Råvarelager</t>
  </si>
  <si>
    <t>Varer under forarbejdelse (proceslager)</t>
  </si>
  <si>
    <t>Færdigvarelager</t>
  </si>
  <si>
    <t>Debitorer</t>
  </si>
  <si>
    <t>Spørgsmål 2</t>
  </si>
  <si>
    <t>Dækningsbidrag</t>
  </si>
  <si>
    <t>6000*15</t>
  </si>
  <si>
    <t>Kapitaltjeneste</t>
  </si>
  <si>
    <t>Rate</t>
  </si>
  <si>
    <t>Nper</t>
  </si>
  <si>
    <t>Pmt</t>
  </si>
  <si>
    <t>Fv</t>
  </si>
  <si>
    <t>Pv</t>
  </si>
  <si>
    <t>Rente af gennemsn. pengebinding</t>
  </si>
  <si>
    <t>p.a.</t>
  </si>
  <si>
    <t>Konklusion: C-produktionen er ikke lønsom</t>
  </si>
  <si>
    <t>Spørgsmål 3</t>
  </si>
  <si>
    <t>Restgæld</t>
  </si>
  <si>
    <t>Nutidsværdi af</t>
  </si>
  <si>
    <t>Termin</t>
  </si>
  <si>
    <t>Afdrag</t>
  </si>
  <si>
    <t>ultimo</t>
  </si>
  <si>
    <t>Rente</t>
  </si>
  <si>
    <t>Ydelse</t>
  </si>
  <si>
    <t>PMT(0,1;30;-800000;0)</t>
  </si>
  <si>
    <t>ydelserne R = 20%</t>
  </si>
  <si>
    <t>Samlet nutidsværdi</t>
  </si>
  <si>
    <t>Kreditforeningslånet</t>
  </si>
  <si>
    <t>Serielånet</t>
  </si>
  <si>
    <t>Beregning af kontantværdien</t>
  </si>
  <si>
    <t>Udbetaling</t>
  </si>
  <si>
    <t>Spørgsmål 4</t>
  </si>
  <si>
    <t>År 1</t>
  </si>
  <si>
    <t xml:space="preserve">Ydelse </t>
  </si>
  <si>
    <t>(jf. spm. 3)</t>
  </si>
  <si>
    <t>Rente efter skat</t>
  </si>
  <si>
    <t>80.000*0,68</t>
  </si>
  <si>
    <t>800.000*0,1</t>
  </si>
  <si>
    <t>Ydelse efter skat</t>
  </si>
  <si>
    <t>(1/10)*200.000</t>
  </si>
  <si>
    <t>0,1*200.000</t>
  </si>
  <si>
    <t>20.000*0,68</t>
  </si>
  <si>
    <t>PV(0,2;30;-1;0)</t>
  </si>
  <si>
    <t>PMT(0,1;30;-1;0)</t>
  </si>
  <si>
    <t>Kurs</t>
  </si>
  <si>
    <t>100 * 0,1060792 * 4,9789364</t>
  </si>
  <si>
    <t>Nutidsværdi</t>
  </si>
  <si>
    <t>0,5281618 * 800.000</t>
  </si>
  <si>
    <t>Igen har vi en alternativ løsningsmulighed, der tager udgangspunkt i kursen på serielånet:</t>
  </si>
  <si>
    <t>Opgave 12, fortsat</t>
  </si>
  <si>
    <t>Alternativt kan vi benytte følgende fremgangsmåde for kreditforeningslånet:</t>
  </si>
  <si>
    <t>500 * 35 * (2 + 0,5 + 1 + 1)</t>
  </si>
  <si>
    <t>500 * 10 * (0,5 * 0,5 + 1 + 1)</t>
  </si>
  <si>
    <t>500 * 35 * 2</t>
  </si>
  <si>
    <t>500 * 35 * 0,5</t>
  </si>
  <si>
    <t>500 * 10 * 0,5 * 0,5</t>
  </si>
  <si>
    <t>500 * 45 * 1</t>
  </si>
  <si>
    <t>500 * 45 * 2</t>
  </si>
  <si>
    <t>PMT(0,2 ;4; -200000; 0)</t>
  </si>
  <si>
    <t>90000 * 0,20</t>
  </si>
  <si>
    <t>0,79623 * 200.000</t>
  </si>
  <si>
    <t>Samlede ydelse efter skat på de to lån = 59.263 + 33.600</t>
  </si>
</sst>
</file>

<file path=xl/styles.xml><?xml version="1.0" encoding="utf-8"?>
<styleSheet xmlns="http://schemas.openxmlformats.org/spreadsheetml/2006/main">
  <numFmts count="4">
    <numFmt numFmtId="164" formatCode="&quot;kr&quot;\ #,##0.00_);[Red]\(&quot;kr&quot;\ #,##0.00\)"/>
    <numFmt numFmtId="165" formatCode="_(&quot;kr&quot;\ * #,##0.00_);_(&quot;kr&quot;\ * \(#,##0.00\);_(&quot;kr&quot;\ * &quot;-&quot;??_);_(@_)"/>
    <numFmt numFmtId="166" formatCode="_(* #,##0.00_);_(* \(#,##0.00\);_(* &quot;-&quot;??_);_(@_)"/>
    <numFmt numFmtId="167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4" fillId="0" borderId="0" xfId="2" applyFont="1"/>
    <xf numFmtId="165" fontId="4" fillId="0" borderId="1" xfId="2" applyFont="1" applyBorder="1"/>
    <xf numFmtId="165" fontId="4" fillId="0" borderId="2" xfId="2" applyFont="1" applyBorder="1"/>
    <xf numFmtId="166" fontId="4" fillId="0" borderId="0" xfId="1" applyFont="1"/>
    <xf numFmtId="167" fontId="4" fillId="0" borderId="0" xfId="1" applyNumberFormat="1" applyFont="1"/>
    <xf numFmtId="167" fontId="4" fillId="0" borderId="1" xfId="1" applyNumberFormat="1" applyFont="1" applyBorder="1"/>
    <xf numFmtId="167" fontId="4" fillId="0" borderId="2" xfId="0" applyNumberFormat="1" applyFont="1" applyBorder="1"/>
    <xf numFmtId="0" fontId="4" fillId="0" borderId="0" xfId="0" applyFont="1" applyAlignment="1">
      <alignment horizontal="center"/>
    </xf>
    <xf numFmtId="166" fontId="4" fillId="0" borderId="1" xfId="1" applyFont="1" applyBorder="1"/>
    <xf numFmtId="166" fontId="4" fillId="0" borderId="3" xfId="0" applyNumberFormat="1" applyFont="1" applyBorder="1"/>
    <xf numFmtId="0" fontId="4" fillId="0" borderId="1" xfId="0" applyFont="1" applyBorder="1"/>
    <xf numFmtId="0" fontId="4" fillId="0" borderId="4" xfId="0" applyFont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7" fontId="5" fillId="0" borderId="0" xfId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2" borderId="0" xfId="0" applyFont="1" applyFill="1"/>
    <xf numFmtId="4" fontId="5" fillId="0" borderId="0" xfId="1" applyNumberFormat="1" applyFont="1" applyAlignment="1">
      <alignment horizontal="center"/>
    </xf>
    <xf numFmtId="4" fontId="4" fillId="2" borderId="0" xfId="1" applyNumberFormat="1" applyFont="1" applyFill="1"/>
    <xf numFmtId="4" fontId="5" fillId="0" borderId="0" xfId="0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6" fillId="0" borderId="0" xfId="0" applyFont="1"/>
    <xf numFmtId="165" fontId="4" fillId="0" borderId="0" xfId="2" applyFont="1" applyBorder="1"/>
    <xf numFmtId="37" fontId="4" fillId="0" borderId="0" xfId="1" applyNumberFormat="1" applyFont="1" applyAlignment="1">
      <alignment horizontal="left"/>
    </xf>
    <xf numFmtId="164" fontId="5" fillId="0" borderId="0" xfId="0" applyNumberFormat="1" applyFont="1"/>
    <xf numFmtId="0" fontId="5" fillId="0" borderId="0" xfId="0" applyNumberFormat="1" applyFont="1"/>
    <xf numFmtId="4" fontId="5" fillId="0" borderId="0" xfId="0" applyNumberFormat="1" applyFont="1" applyBorder="1"/>
    <xf numFmtId="165" fontId="4" fillId="3" borderId="2" xfId="2" applyFont="1" applyFill="1" applyBorder="1"/>
    <xf numFmtId="165" fontId="4" fillId="3" borderId="4" xfId="2" applyFont="1" applyFill="1" applyBorder="1"/>
    <xf numFmtId="0" fontId="3" fillId="4" borderId="0" xfId="0" applyFont="1" applyFill="1"/>
    <xf numFmtId="0" fontId="4" fillId="4" borderId="0" xfId="0" applyFont="1" applyFill="1"/>
    <xf numFmtId="4" fontId="5" fillId="3" borderId="0" xfId="1" applyNumberFormat="1" applyFont="1" applyFill="1" applyAlignment="1">
      <alignment horizontal="center"/>
    </xf>
    <xf numFmtId="0" fontId="4" fillId="3" borderId="0" xfId="0" applyFont="1" applyFill="1"/>
    <xf numFmtId="4" fontId="7" fillId="3" borderId="5" xfId="1" applyNumberFormat="1" applyFont="1" applyFill="1" applyBorder="1" applyAlignment="1">
      <alignment horizontal="center"/>
    </xf>
    <xf numFmtId="0" fontId="3" fillId="0" borderId="0" xfId="0" applyFont="1" applyBorder="1"/>
    <xf numFmtId="4" fontId="5" fillId="3" borderId="4" xfId="0" applyNumberFormat="1" applyFont="1" applyFill="1" applyBorder="1"/>
    <xf numFmtId="4" fontId="7" fillId="3" borderId="4" xfId="0" applyNumberFormat="1" applyFont="1" applyFill="1" applyBorder="1"/>
    <xf numFmtId="0" fontId="1" fillId="0" borderId="0" xfId="0" applyFont="1"/>
    <xf numFmtId="165" fontId="4" fillId="3" borderId="2" xfId="0" applyNumberFormat="1" applyFont="1" applyFill="1" applyBorder="1"/>
    <xf numFmtId="0" fontId="7" fillId="0" borderId="0" xfId="0" applyFont="1"/>
    <xf numFmtId="165" fontId="3" fillId="3" borderId="5" xfId="0" applyNumberFormat="1" applyFont="1" applyFill="1" applyBorder="1"/>
  </cellXfs>
  <cellStyles count="3">
    <cellStyle name="1000-sep (2 dec)" xfId="1" builtinId="3"/>
    <cellStyle name="Normal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0"/>
  <sheetViews>
    <sheetView tabSelected="1" zoomScaleNormal="100" workbookViewId="0"/>
  </sheetViews>
  <sheetFormatPr defaultRowHeight="13.2"/>
  <cols>
    <col min="1" max="1" width="6.109375" customWidth="1"/>
    <col min="2" max="2" width="12.109375" customWidth="1"/>
    <col min="3" max="3" width="2.33203125" customWidth="1"/>
    <col min="4" max="4" width="16.6640625" bestFit="1" customWidth="1"/>
    <col min="5" max="5" width="9.88671875" customWidth="1"/>
    <col min="6" max="6" width="1.6640625" customWidth="1"/>
    <col min="7" max="7" width="12.88671875" customWidth="1"/>
    <col min="8" max="9" width="2.109375" customWidth="1"/>
    <col min="10" max="10" width="16.88671875" customWidth="1"/>
    <col min="11" max="11" width="4.6640625" customWidth="1"/>
  </cols>
  <sheetData>
    <row r="1" spans="1:13" ht="20.399999999999999">
      <c r="A1" s="1" t="s">
        <v>0</v>
      </c>
      <c r="B1" s="1"/>
    </row>
    <row r="3" spans="1:13" ht="15.6">
      <c r="A3" s="37" t="s">
        <v>1</v>
      </c>
      <c r="B3" s="37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3" t="s">
        <v>2</v>
      </c>
      <c r="B5" s="3"/>
      <c r="C5" s="3" t="s">
        <v>3</v>
      </c>
      <c r="D5" s="3" t="s">
        <v>58</v>
      </c>
      <c r="E5" s="3"/>
      <c r="F5" s="3"/>
      <c r="G5" s="3"/>
      <c r="H5" s="3"/>
      <c r="I5" s="3" t="s">
        <v>3</v>
      </c>
      <c r="J5" s="4">
        <f>500*35*(2+0.5+1+1)</f>
        <v>78750</v>
      </c>
      <c r="K5" s="3"/>
      <c r="L5" s="3"/>
      <c r="M5" s="3"/>
    </row>
    <row r="6" spans="1:13" ht="15">
      <c r="A6" s="3" t="s">
        <v>4</v>
      </c>
      <c r="B6" s="3"/>
      <c r="C6" s="3" t="s">
        <v>3</v>
      </c>
      <c r="D6" s="3" t="s">
        <v>59</v>
      </c>
      <c r="E6" s="3"/>
      <c r="F6" s="3"/>
      <c r="G6" s="3"/>
      <c r="H6" s="3"/>
      <c r="I6" s="3" t="s">
        <v>3</v>
      </c>
      <c r="J6" s="5">
        <f>500*10*(0.5*0.5+1+1)</f>
        <v>11250</v>
      </c>
      <c r="K6" s="3"/>
      <c r="L6" s="3"/>
      <c r="M6" s="3"/>
    </row>
    <row r="7" spans="1:13" ht="15.6" thickBot="1">
      <c r="A7" s="3" t="s">
        <v>5</v>
      </c>
      <c r="B7" s="3"/>
      <c r="C7" s="3"/>
      <c r="D7" s="3"/>
      <c r="E7" s="3"/>
      <c r="F7" s="3"/>
      <c r="G7" s="3"/>
      <c r="H7" s="3"/>
      <c r="I7" s="3" t="s">
        <v>3</v>
      </c>
      <c r="J7" s="35">
        <f>SUM(J5:J6)</f>
        <v>90000</v>
      </c>
      <c r="K7" s="3"/>
      <c r="L7" s="3"/>
      <c r="M7" s="3"/>
    </row>
    <row r="8" spans="1:13" ht="15.6" thickTop="1">
      <c r="A8" s="3"/>
      <c r="B8" s="3"/>
      <c r="C8" s="3"/>
      <c r="D8" s="3"/>
      <c r="E8" s="3"/>
      <c r="F8" s="3"/>
      <c r="G8" s="3"/>
      <c r="H8" s="3"/>
      <c r="I8" s="3"/>
      <c r="J8" s="4"/>
      <c r="K8" s="3"/>
      <c r="L8" s="3"/>
      <c r="M8" s="3"/>
    </row>
    <row r="9" spans="1:13" ht="15.6">
      <c r="A9" s="2" t="s">
        <v>6</v>
      </c>
      <c r="B9" s="3"/>
      <c r="C9" s="3"/>
      <c r="D9" s="3"/>
      <c r="E9" s="3"/>
      <c r="F9" s="3"/>
      <c r="G9" s="3"/>
      <c r="H9" s="3"/>
      <c r="I9" s="3"/>
      <c r="J9" s="4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4"/>
      <c r="K10" s="3"/>
      <c r="L10" s="3"/>
      <c r="M10" s="3"/>
    </row>
    <row r="11" spans="1:13" ht="15">
      <c r="A11" s="3" t="s">
        <v>7</v>
      </c>
      <c r="B11" s="3"/>
      <c r="C11" s="3" t="s">
        <v>3</v>
      </c>
      <c r="D11" s="3" t="s">
        <v>60</v>
      </c>
      <c r="E11" s="3"/>
      <c r="F11" s="3"/>
      <c r="G11" s="3"/>
      <c r="H11" s="3"/>
      <c r="I11" s="3" t="s">
        <v>3</v>
      </c>
      <c r="J11" s="4">
        <f>500*35*2</f>
        <v>35000</v>
      </c>
      <c r="K11" s="3"/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4"/>
      <c r="K12" s="3"/>
      <c r="L12" s="3"/>
      <c r="M12" s="3"/>
    </row>
    <row r="13" spans="1:13" ht="1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3"/>
      <c r="L13" s="3"/>
      <c r="M13" s="3"/>
    </row>
    <row r="14" spans="1:13" ht="15">
      <c r="A14" s="3"/>
      <c r="B14" s="3" t="s">
        <v>2</v>
      </c>
      <c r="C14" s="3" t="s">
        <v>3</v>
      </c>
      <c r="D14" s="3" t="s">
        <v>61</v>
      </c>
      <c r="E14" s="3"/>
      <c r="F14" s="3" t="s">
        <v>3</v>
      </c>
      <c r="G14" s="8">
        <f>500*35*0.5</f>
        <v>8750</v>
      </c>
      <c r="H14" s="3"/>
      <c r="I14" s="3"/>
      <c r="J14" s="4"/>
      <c r="K14" s="3"/>
      <c r="L14" s="3"/>
      <c r="M14" s="3"/>
    </row>
    <row r="15" spans="1:13" ht="15">
      <c r="A15" s="3"/>
      <c r="B15" s="3" t="s">
        <v>4</v>
      </c>
      <c r="C15" s="3" t="s">
        <v>3</v>
      </c>
      <c r="D15" s="3" t="s">
        <v>62</v>
      </c>
      <c r="E15" s="3"/>
      <c r="F15" s="3" t="s">
        <v>3</v>
      </c>
      <c r="G15" s="9">
        <f>500*10*0.5*0.5</f>
        <v>1250</v>
      </c>
      <c r="H15" s="3"/>
      <c r="I15" s="3"/>
      <c r="J15" s="4"/>
      <c r="K15" s="3"/>
      <c r="L15" s="3"/>
      <c r="M15" s="3"/>
    </row>
    <row r="16" spans="1:13" ht="15.6" thickBot="1">
      <c r="A16" s="3"/>
      <c r="B16" s="3"/>
      <c r="C16" s="3"/>
      <c r="D16" s="3"/>
      <c r="E16" s="3"/>
      <c r="F16" s="3"/>
      <c r="G16" s="10">
        <f>SUM(G14:G15)</f>
        <v>10000</v>
      </c>
      <c r="H16" s="3"/>
      <c r="I16" s="3" t="s">
        <v>3</v>
      </c>
      <c r="J16" s="4">
        <f>G16</f>
        <v>10000</v>
      </c>
      <c r="K16" s="3"/>
      <c r="L16" s="3"/>
      <c r="M16" s="3"/>
    </row>
    <row r="17" spans="1:13" ht="15.6" thickTop="1">
      <c r="A17" s="3"/>
      <c r="B17" s="3"/>
      <c r="C17" s="3"/>
      <c r="D17" s="3"/>
      <c r="E17" s="3"/>
      <c r="F17" s="3"/>
      <c r="G17" s="3"/>
      <c r="H17" s="3"/>
      <c r="I17" s="3"/>
      <c r="J17" s="4"/>
      <c r="K17" s="3"/>
      <c r="L17" s="3"/>
      <c r="M17" s="3"/>
    </row>
    <row r="18" spans="1:13" ht="15">
      <c r="A18" s="3" t="s">
        <v>9</v>
      </c>
      <c r="B18" s="3"/>
      <c r="C18" s="3" t="s">
        <v>3</v>
      </c>
      <c r="D18" s="3" t="s">
        <v>63</v>
      </c>
      <c r="E18" s="3"/>
      <c r="F18" s="3"/>
      <c r="G18" s="3"/>
      <c r="H18" s="3"/>
      <c r="I18" s="3" t="s">
        <v>3</v>
      </c>
      <c r="J18" s="4">
        <f>500*45*1</f>
        <v>22500</v>
      </c>
      <c r="K18" s="3"/>
      <c r="L18" s="3"/>
      <c r="M18" s="3"/>
    </row>
    <row r="19" spans="1:13" ht="15">
      <c r="A19" s="3" t="s">
        <v>10</v>
      </c>
      <c r="B19" s="3"/>
      <c r="C19" s="3" t="s">
        <v>3</v>
      </c>
      <c r="D19" s="3" t="s">
        <v>64</v>
      </c>
      <c r="E19" s="3"/>
      <c r="F19" s="3"/>
      <c r="G19" s="3"/>
      <c r="H19" s="3"/>
      <c r="I19" s="3" t="s">
        <v>3</v>
      </c>
      <c r="J19" s="5">
        <f>500*45*1</f>
        <v>22500</v>
      </c>
      <c r="K19" s="3"/>
      <c r="L19" s="3"/>
      <c r="M19" s="3"/>
    </row>
    <row r="20" spans="1:13" ht="15.6" thickBot="1">
      <c r="A20" s="3" t="s">
        <v>5</v>
      </c>
      <c r="B20" s="3"/>
      <c r="C20" s="3"/>
      <c r="D20" s="3"/>
      <c r="E20" s="3"/>
      <c r="F20" s="3"/>
      <c r="G20" s="3"/>
      <c r="H20" s="3"/>
      <c r="I20" s="3" t="s">
        <v>3</v>
      </c>
      <c r="J20" s="35">
        <f>SUM(J11:J19)</f>
        <v>90000</v>
      </c>
      <c r="K20" s="3"/>
      <c r="L20" s="3"/>
      <c r="M20" s="3"/>
    </row>
    <row r="21" spans="1:13" ht="15.6" thickTop="1">
      <c r="A21" s="3"/>
      <c r="B21" s="3"/>
      <c r="C21" s="3"/>
      <c r="D21" s="3"/>
      <c r="E21" s="3"/>
      <c r="F21" s="3"/>
      <c r="G21" s="3"/>
      <c r="H21" s="3"/>
      <c r="I21" s="3"/>
      <c r="J21" s="4"/>
      <c r="K21" s="3"/>
      <c r="L21" s="3"/>
      <c r="M21" s="3"/>
    </row>
    <row r="22" spans="1:13" ht="15.6">
      <c r="A22" s="37" t="s">
        <v>11</v>
      </c>
      <c r="B22" s="38"/>
      <c r="C22" s="3"/>
      <c r="D22" s="3"/>
      <c r="E22" s="3"/>
      <c r="F22" s="3"/>
      <c r="G22" s="3"/>
      <c r="H22" s="3"/>
      <c r="I22" s="3"/>
      <c r="J22" s="4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4"/>
      <c r="K23" s="3"/>
      <c r="L23" s="3"/>
      <c r="M23" s="3"/>
    </row>
    <row r="24" spans="1:13" ht="15">
      <c r="A24" s="3" t="s">
        <v>12</v>
      </c>
      <c r="B24" s="3"/>
      <c r="C24" s="3" t="s">
        <v>3</v>
      </c>
      <c r="D24" s="3" t="s">
        <v>13</v>
      </c>
      <c r="E24" s="3"/>
      <c r="F24" s="3"/>
      <c r="G24" s="3"/>
      <c r="H24" s="3"/>
      <c r="I24" s="3" t="s">
        <v>3</v>
      </c>
      <c r="J24" s="4">
        <f>6000*15</f>
        <v>90000</v>
      </c>
      <c r="K24" s="3" t="s">
        <v>21</v>
      </c>
      <c r="L24" s="3"/>
      <c r="M24" s="3"/>
    </row>
    <row r="25" spans="1:13" ht="15">
      <c r="D25" s="3"/>
      <c r="E25" s="3"/>
      <c r="F25" s="3"/>
      <c r="G25" s="3"/>
      <c r="H25" s="3"/>
      <c r="I25" s="3"/>
      <c r="J25" s="4"/>
      <c r="K25" s="3"/>
      <c r="L25" s="3"/>
      <c r="M25" s="3"/>
    </row>
    <row r="26" spans="1:13" ht="15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4"/>
      <c r="K26" s="3"/>
      <c r="L26" s="3"/>
      <c r="M26" s="3"/>
    </row>
    <row r="27" spans="1:13" ht="15">
      <c r="A27" s="3"/>
      <c r="H27" s="3"/>
      <c r="I27" s="3"/>
      <c r="J27" s="4"/>
      <c r="K27" s="3"/>
      <c r="L27" s="3"/>
      <c r="M27" s="3"/>
    </row>
    <row r="28" spans="1:13" ht="15">
      <c r="A28" s="3"/>
      <c r="B28" s="3" t="s">
        <v>15</v>
      </c>
      <c r="C28" s="3" t="s">
        <v>3</v>
      </c>
      <c r="D28" s="3">
        <v>0.2</v>
      </c>
      <c r="E28" s="3"/>
      <c r="F28" s="3"/>
      <c r="G28" s="3"/>
      <c r="H28" s="3"/>
      <c r="I28" s="3"/>
      <c r="J28" s="4"/>
      <c r="K28" s="3"/>
      <c r="L28" s="3"/>
      <c r="M28" s="3"/>
    </row>
    <row r="29" spans="1:13" ht="15">
      <c r="A29" s="3"/>
      <c r="B29" s="3" t="s">
        <v>16</v>
      </c>
      <c r="C29" s="3" t="s">
        <v>3</v>
      </c>
      <c r="D29" s="3">
        <v>4</v>
      </c>
      <c r="E29" s="3"/>
      <c r="F29" s="3"/>
      <c r="G29" s="3"/>
      <c r="H29" s="3"/>
      <c r="I29" s="3"/>
      <c r="J29" s="4"/>
      <c r="K29" s="3"/>
      <c r="L29" s="3"/>
      <c r="M29" s="3"/>
    </row>
    <row r="30" spans="1:13" ht="15">
      <c r="A30" s="3"/>
      <c r="B30" s="3" t="s">
        <v>19</v>
      </c>
      <c r="C30" s="3" t="s">
        <v>3</v>
      </c>
      <c r="D30" s="8">
        <v>200000</v>
      </c>
      <c r="E30" s="3"/>
      <c r="F30" s="3"/>
      <c r="G30" s="3"/>
      <c r="H30" s="3"/>
      <c r="I30" s="3"/>
      <c r="J30" s="4"/>
      <c r="K30" s="3"/>
      <c r="L30" s="3"/>
      <c r="M30" s="3"/>
    </row>
    <row r="31" spans="1:13" ht="15">
      <c r="B31" s="3" t="s">
        <v>18</v>
      </c>
      <c r="C31" s="3" t="s">
        <v>3</v>
      </c>
      <c r="D31" s="3">
        <v>0</v>
      </c>
      <c r="E31" s="3"/>
      <c r="F31" s="3"/>
      <c r="G31" s="3"/>
    </row>
    <row r="32" spans="1:13" ht="15">
      <c r="B32" s="3"/>
      <c r="C32" s="3"/>
    </row>
    <row r="33" spans="1:11" ht="15">
      <c r="B33" s="3" t="s">
        <v>17</v>
      </c>
      <c r="C33" s="3" t="s">
        <v>3</v>
      </c>
      <c r="D33" s="7" t="s">
        <v>65</v>
      </c>
      <c r="F33" s="11" t="s">
        <v>3</v>
      </c>
      <c r="G33" s="7">
        <f>PMT($D$28,$D$29,-$D$30,$D$31)</f>
        <v>77257.824143070058</v>
      </c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1" ht="15">
      <c r="A35" s="3" t="s">
        <v>20</v>
      </c>
      <c r="B35" s="3"/>
      <c r="C35" s="3"/>
      <c r="D35" s="3"/>
      <c r="E35" s="3"/>
      <c r="F35" s="3"/>
      <c r="G35" s="3"/>
      <c r="H35" s="3"/>
      <c r="I35" s="3"/>
      <c r="J35" s="3"/>
    </row>
    <row r="36" spans="1:11" ht="15">
      <c r="A36" s="3"/>
      <c r="B36" s="3"/>
      <c r="E36" s="3"/>
      <c r="F36" s="3"/>
      <c r="G36" s="3"/>
      <c r="H36" s="3"/>
      <c r="I36" s="3"/>
      <c r="J36" s="3"/>
    </row>
    <row r="37" spans="1:11" ht="15">
      <c r="A37" s="3"/>
      <c r="B37" s="3"/>
      <c r="C37" s="3" t="s">
        <v>3</v>
      </c>
      <c r="D37" s="3" t="s">
        <v>66</v>
      </c>
      <c r="E37" s="3"/>
      <c r="F37" s="11" t="s">
        <v>3</v>
      </c>
      <c r="G37" s="12">
        <f>90000*0.2</f>
        <v>18000</v>
      </c>
      <c r="H37" s="3"/>
      <c r="I37" s="3"/>
      <c r="J37" s="3"/>
    </row>
    <row r="38" spans="1:11" ht="15">
      <c r="A38" s="3"/>
      <c r="B38" s="3"/>
      <c r="C38" s="3"/>
      <c r="D38" s="3"/>
      <c r="E38" s="3"/>
      <c r="F38" s="3"/>
      <c r="G38" s="13">
        <f>SUM(G33:G37)</f>
        <v>95257.824143070058</v>
      </c>
      <c r="H38" s="3"/>
      <c r="I38" s="3" t="s">
        <v>3</v>
      </c>
      <c r="J38" s="5">
        <f>G38</f>
        <v>95257.824143070058</v>
      </c>
      <c r="K38" s="14" t="s">
        <v>21</v>
      </c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</row>
    <row r="40" spans="1:11" ht="15.6" thickBot="1">
      <c r="A40" s="3"/>
      <c r="B40" s="3"/>
      <c r="C40" s="3"/>
      <c r="D40" s="3"/>
      <c r="E40" s="3"/>
      <c r="F40" s="3"/>
      <c r="G40" s="3"/>
      <c r="H40" s="3"/>
      <c r="I40" s="3"/>
      <c r="J40" s="36">
        <f>J24-J38</f>
        <v>-5257.8241430700582</v>
      </c>
      <c r="K40" s="15" t="s">
        <v>21</v>
      </c>
    </row>
    <row r="41" spans="1:11" ht="15.6" thickTop="1">
      <c r="A41" s="3"/>
      <c r="B41" s="3"/>
      <c r="C41" s="3"/>
      <c r="D41" s="3"/>
      <c r="E41" s="3"/>
      <c r="F41" s="3"/>
      <c r="G41" s="3"/>
      <c r="H41" s="3"/>
      <c r="I41" s="3"/>
    </row>
    <row r="42" spans="1:11" ht="15">
      <c r="A42" s="3" t="s">
        <v>22</v>
      </c>
    </row>
    <row r="44" spans="1:11" ht="15.6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20.399999999999999">
      <c r="A48" s="1" t="s">
        <v>56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2" ht="15.6">
      <c r="A50" s="37" t="s">
        <v>23</v>
      </c>
      <c r="B50" s="38"/>
      <c r="C50" s="3"/>
      <c r="D50" s="3"/>
      <c r="E50" s="3"/>
      <c r="F50" s="3"/>
      <c r="G50" s="3"/>
      <c r="H50" s="3"/>
      <c r="I50" s="3"/>
      <c r="J50" s="3"/>
      <c r="K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2" ht="15">
      <c r="A52" s="29" t="s">
        <v>34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2" ht="15">
      <c r="B54" s="3" t="s">
        <v>30</v>
      </c>
      <c r="C54" s="3" t="s">
        <v>3</v>
      </c>
      <c r="D54" s="8" t="s">
        <v>31</v>
      </c>
      <c r="F54" s="3" t="s">
        <v>3</v>
      </c>
      <c r="G54" s="8">
        <f>PMT(0.1,30,-800000,0)</f>
        <v>84863.398602107118</v>
      </c>
      <c r="H54" s="3"/>
      <c r="I54" s="3"/>
      <c r="J54" s="3"/>
      <c r="K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2" ht="15">
      <c r="A56" s="16"/>
      <c r="B56" s="16"/>
      <c r="C56" s="16"/>
      <c r="D56" s="16" t="s">
        <v>24</v>
      </c>
      <c r="E56" s="16"/>
      <c r="F56" s="16"/>
      <c r="G56" s="17"/>
      <c r="H56" s="18"/>
      <c r="I56" s="19"/>
      <c r="J56" s="16" t="s">
        <v>25</v>
      </c>
      <c r="K56" s="3"/>
    </row>
    <row r="57" spans="1:12" ht="15">
      <c r="A57" s="16" t="s">
        <v>26</v>
      </c>
      <c r="B57" s="16" t="s">
        <v>27</v>
      </c>
      <c r="C57" s="18"/>
      <c r="D57" s="16" t="s">
        <v>28</v>
      </c>
      <c r="E57" s="16" t="s">
        <v>29</v>
      </c>
      <c r="F57" s="18"/>
      <c r="G57" s="16" t="s">
        <v>30</v>
      </c>
      <c r="H57" s="18"/>
      <c r="I57" s="19"/>
      <c r="J57" s="16" t="s">
        <v>32</v>
      </c>
      <c r="K57" s="3"/>
    </row>
    <row r="58" spans="1:12" ht="15">
      <c r="A58" s="21">
        <v>0</v>
      </c>
      <c r="B58" s="23"/>
      <c r="C58" s="23"/>
      <c r="D58" s="23">
        <v>800000</v>
      </c>
      <c r="E58" s="23"/>
      <c r="F58" s="23"/>
      <c r="G58" s="23"/>
      <c r="H58" s="27"/>
      <c r="I58" s="27"/>
      <c r="J58" s="27"/>
      <c r="K58" s="3"/>
      <c r="L58" s="22"/>
    </row>
    <row r="59" spans="1:12" ht="15">
      <c r="A59" s="21">
        <f>A58+1</f>
        <v>1</v>
      </c>
      <c r="B59" s="23">
        <f>G59-E59</f>
        <v>4863.3986021071178</v>
      </c>
      <c r="C59" s="23"/>
      <c r="D59" s="23">
        <f>D58-B59</f>
        <v>795136.60139789293</v>
      </c>
      <c r="E59" s="28">
        <f>D58*0.1</f>
        <v>80000</v>
      </c>
      <c r="F59" s="23"/>
      <c r="G59" s="28">
        <f>PMT(0.1,30,-800000,0)</f>
        <v>84863.398602107118</v>
      </c>
      <c r="H59" s="27"/>
      <c r="I59" s="27"/>
      <c r="J59" s="25">
        <f>G59/(1+0.2)^A59</f>
        <v>70719.498835089267</v>
      </c>
      <c r="K59" s="3"/>
    </row>
    <row r="60" spans="1:12" ht="15">
      <c r="A60" s="21">
        <f t="shared" ref="A60:A87" si="0">A59+1</f>
        <v>2</v>
      </c>
      <c r="B60" s="23">
        <f t="shared" ref="B60:B88" si="1">G60-E60</f>
        <v>5349.7384623178223</v>
      </c>
      <c r="C60" s="23"/>
      <c r="D60" s="23">
        <f t="shared" ref="D60:D88" si="2">D59-B60</f>
        <v>789786.86293557507</v>
      </c>
      <c r="E60" s="28">
        <f t="shared" ref="E60:E88" si="3">D59*0.1</f>
        <v>79513.660139789295</v>
      </c>
      <c r="F60" s="23"/>
      <c r="G60" s="28">
        <f t="shared" ref="G60:G88" si="4">PMT(0.1,30,-800000,0)</f>
        <v>84863.398602107118</v>
      </c>
      <c r="H60" s="27"/>
      <c r="I60" s="27"/>
      <c r="J60" s="25">
        <f t="shared" ref="J60:J88" si="5">G60/(1+0.2)^A60</f>
        <v>58932.915695907723</v>
      </c>
      <c r="K60" s="3"/>
    </row>
    <row r="61" spans="1:12" ht="15">
      <c r="A61" s="21">
        <f t="shared" si="0"/>
        <v>3</v>
      </c>
      <c r="B61" s="23">
        <f t="shared" si="1"/>
        <v>5884.7123085495987</v>
      </c>
      <c r="C61" s="23"/>
      <c r="D61" s="23">
        <f t="shared" si="2"/>
        <v>783902.15062702552</v>
      </c>
      <c r="E61" s="28">
        <f t="shared" si="3"/>
        <v>78978.686293557519</v>
      </c>
      <c r="F61" s="23"/>
      <c r="G61" s="28">
        <f t="shared" si="4"/>
        <v>84863.398602107118</v>
      </c>
      <c r="H61" s="27"/>
      <c r="I61" s="27"/>
      <c r="J61" s="25">
        <f t="shared" si="5"/>
        <v>49110.763079923105</v>
      </c>
      <c r="K61" s="3"/>
    </row>
    <row r="62" spans="1:12" ht="15">
      <c r="A62" s="21">
        <f t="shared" si="0"/>
        <v>4</v>
      </c>
      <c r="B62" s="23">
        <f t="shared" si="1"/>
        <v>6473.1835394045629</v>
      </c>
      <c r="C62" s="23"/>
      <c r="D62" s="23">
        <f t="shared" si="2"/>
        <v>777428.96708762099</v>
      </c>
      <c r="E62" s="28">
        <f t="shared" si="3"/>
        <v>78390.215062702555</v>
      </c>
      <c r="F62" s="23"/>
      <c r="G62" s="28">
        <f t="shared" si="4"/>
        <v>84863.398602107118</v>
      </c>
      <c r="H62" s="27"/>
      <c r="I62" s="27"/>
      <c r="J62" s="25">
        <f t="shared" si="5"/>
        <v>40925.635899935922</v>
      </c>
      <c r="K62" s="3"/>
    </row>
    <row r="63" spans="1:12" ht="15">
      <c r="A63" s="21">
        <f t="shared" si="0"/>
        <v>5</v>
      </c>
      <c r="B63" s="23">
        <f t="shared" si="1"/>
        <v>7120.5018933450192</v>
      </c>
      <c r="C63" s="23"/>
      <c r="D63" s="23">
        <f t="shared" si="2"/>
        <v>770308.46519427595</v>
      </c>
      <c r="E63" s="28">
        <f t="shared" si="3"/>
        <v>77742.896708762099</v>
      </c>
      <c r="F63" s="23"/>
      <c r="G63" s="28">
        <f t="shared" si="4"/>
        <v>84863.398602107118</v>
      </c>
      <c r="H63" s="27"/>
      <c r="I63" s="27"/>
      <c r="J63" s="25">
        <f t="shared" si="5"/>
        <v>34104.696583279932</v>
      </c>
      <c r="K63" s="3"/>
    </row>
    <row r="64" spans="1:12" ht="15">
      <c r="A64" s="21">
        <f t="shared" si="0"/>
        <v>6</v>
      </c>
      <c r="B64" s="23">
        <f t="shared" si="1"/>
        <v>7832.5520826795255</v>
      </c>
      <c r="C64" s="23"/>
      <c r="D64" s="23">
        <f t="shared" si="2"/>
        <v>762475.91311159637</v>
      </c>
      <c r="E64" s="28">
        <f t="shared" si="3"/>
        <v>77030.846519427592</v>
      </c>
      <c r="F64" s="23"/>
      <c r="G64" s="28">
        <f t="shared" si="4"/>
        <v>84863.398602107118</v>
      </c>
      <c r="H64" s="27"/>
      <c r="I64" s="27"/>
      <c r="J64" s="25">
        <f t="shared" si="5"/>
        <v>28420.58048606661</v>
      </c>
      <c r="K64" s="3"/>
    </row>
    <row r="65" spans="1:11" ht="15">
      <c r="A65" s="21">
        <f t="shared" si="0"/>
        <v>7</v>
      </c>
      <c r="B65" s="23">
        <f t="shared" si="1"/>
        <v>8615.8072909474722</v>
      </c>
      <c r="C65" s="23"/>
      <c r="D65" s="23">
        <f t="shared" si="2"/>
        <v>753860.10582064884</v>
      </c>
      <c r="E65" s="28">
        <f t="shared" si="3"/>
        <v>76247.591311159646</v>
      </c>
      <c r="F65" s="23"/>
      <c r="G65" s="28">
        <f t="shared" si="4"/>
        <v>84863.398602107118</v>
      </c>
      <c r="H65" s="27"/>
      <c r="I65" s="27"/>
      <c r="J65" s="25">
        <f t="shared" si="5"/>
        <v>23683.817071722176</v>
      </c>
      <c r="K65" s="3"/>
    </row>
    <row r="66" spans="1:11" ht="15">
      <c r="A66" s="21">
        <f t="shared" si="0"/>
        <v>8</v>
      </c>
      <c r="B66" s="23">
        <f t="shared" si="1"/>
        <v>9477.3880200422282</v>
      </c>
      <c r="C66" s="23"/>
      <c r="D66" s="23">
        <f t="shared" si="2"/>
        <v>744382.71780060662</v>
      </c>
      <c r="E66" s="28">
        <f t="shared" si="3"/>
        <v>75386.01058206489</v>
      </c>
      <c r="F66" s="23"/>
      <c r="G66" s="28">
        <f t="shared" si="4"/>
        <v>84863.398602107118</v>
      </c>
      <c r="H66" s="27"/>
      <c r="I66" s="27"/>
      <c r="J66" s="25">
        <f t="shared" si="5"/>
        <v>19736.514226435149</v>
      </c>
      <c r="K66" s="3"/>
    </row>
    <row r="67" spans="1:11" ht="15">
      <c r="A67" s="21">
        <f t="shared" si="0"/>
        <v>9</v>
      </c>
      <c r="B67" s="23">
        <f t="shared" si="1"/>
        <v>10425.126822046455</v>
      </c>
      <c r="C67" s="23"/>
      <c r="D67" s="23">
        <f t="shared" si="2"/>
        <v>733957.59097856015</v>
      </c>
      <c r="E67" s="28">
        <f t="shared" si="3"/>
        <v>74438.271780060662</v>
      </c>
      <c r="F67" s="23"/>
      <c r="G67" s="28">
        <f t="shared" si="4"/>
        <v>84863.398602107118</v>
      </c>
      <c r="H67" s="27"/>
      <c r="I67" s="27"/>
      <c r="J67" s="25">
        <f t="shared" si="5"/>
        <v>16447.095188695956</v>
      </c>
      <c r="K67" s="3"/>
    </row>
    <row r="68" spans="1:11" ht="15">
      <c r="A68" s="21">
        <f t="shared" si="0"/>
        <v>10</v>
      </c>
      <c r="B68" s="23">
        <f t="shared" si="1"/>
        <v>11467.639504251099</v>
      </c>
      <c r="C68" s="23"/>
      <c r="D68" s="23">
        <f t="shared" si="2"/>
        <v>722489.95147430908</v>
      </c>
      <c r="E68" s="28">
        <f t="shared" si="3"/>
        <v>73395.759097856018</v>
      </c>
      <c r="F68" s="23"/>
      <c r="G68" s="28">
        <f t="shared" si="4"/>
        <v>84863.398602107118</v>
      </c>
      <c r="H68" s="27"/>
      <c r="I68" s="27"/>
      <c r="J68" s="25">
        <f t="shared" si="5"/>
        <v>13705.91265724663</v>
      </c>
      <c r="K68" s="3"/>
    </row>
    <row r="69" spans="1:11" ht="15">
      <c r="A69" s="21">
        <f t="shared" si="0"/>
        <v>11</v>
      </c>
      <c r="B69" s="23">
        <f t="shared" si="1"/>
        <v>12614.403454676212</v>
      </c>
      <c r="C69" s="23"/>
      <c r="D69" s="23">
        <f t="shared" si="2"/>
        <v>709875.54801963293</v>
      </c>
      <c r="E69" s="28">
        <f t="shared" si="3"/>
        <v>72248.995147430905</v>
      </c>
      <c r="F69" s="23"/>
      <c r="G69" s="28">
        <f t="shared" si="4"/>
        <v>84863.398602107118</v>
      </c>
      <c r="H69" s="27"/>
      <c r="I69" s="27"/>
      <c r="J69" s="25">
        <f t="shared" si="5"/>
        <v>11421.59388103886</v>
      </c>
      <c r="K69" s="3"/>
    </row>
    <row r="70" spans="1:11" ht="15">
      <c r="A70" s="21">
        <f t="shared" si="0"/>
        <v>12</v>
      </c>
      <c r="B70" s="23">
        <f t="shared" si="1"/>
        <v>13875.843800143819</v>
      </c>
      <c r="C70" s="23"/>
      <c r="D70" s="23">
        <f t="shared" si="2"/>
        <v>695999.70421948913</v>
      </c>
      <c r="E70" s="28">
        <f t="shared" si="3"/>
        <v>70987.554801963299</v>
      </c>
      <c r="F70" s="23"/>
      <c r="G70" s="28">
        <f t="shared" si="4"/>
        <v>84863.398602107118</v>
      </c>
      <c r="H70" s="27"/>
      <c r="I70" s="27"/>
      <c r="J70" s="25">
        <f t="shared" si="5"/>
        <v>9517.9949008657168</v>
      </c>
      <c r="K70" s="3"/>
    </row>
    <row r="71" spans="1:11" ht="15">
      <c r="A71" s="21">
        <f t="shared" si="0"/>
        <v>13</v>
      </c>
      <c r="B71" s="23">
        <f t="shared" si="1"/>
        <v>15263.428180158196</v>
      </c>
      <c r="C71" s="23"/>
      <c r="D71" s="23">
        <f t="shared" si="2"/>
        <v>680736.27603933099</v>
      </c>
      <c r="E71" s="28">
        <f t="shared" si="3"/>
        <v>69599.970421948921</v>
      </c>
      <c r="F71" s="23"/>
      <c r="G71" s="28">
        <f t="shared" si="4"/>
        <v>84863.398602107118</v>
      </c>
      <c r="H71" s="27"/>
      <c r="I71" s="27"/>
      <c r="J71" s="25">
        <f t="shared" si="5"/>
        <v>7931.6624173880964</v>
      </c>
      <c r="K71" s="3"/>
    </row>
    <row r="72" spans="1:11" ht="15">
      <c r="A72" s="21">
        <f t="shared" si="0"/>
        <v>14</v>
      </c>
      <c r="B72" s="23">
        <f t="shared" si="1"/>
        <v>16789.770998174019</v>
      </c>
      <c r="C72" s="23"/>
      <c r="D72" s="23">
        <f t="shared" si="2"/>
        <v>663946.50504115701</v>
      </c>
      <c r="E72" s="28">
        <f t="shared" si="3"/>
        <v>68073.627603933099</v>
      </c>
      <c r="F72" s="23"/>
      <c r="G72" s="28">
        <f t="shared" si="4"/>
        <v>84863.398602107118</v>
      </c>
      <c r="H72" s="27"/>
      <c r="I72" s="27"/>
      <c r="J72" s="25">
        <f t="shared" si="5"/>
        <v>6609.7186811567481</v>
      </c>
      <c r="K72" s="3"/>
    </row>
    <row r="73" spans="1:11" ht="15">
      <c r="A73" s="21">
        <f t="shared" si="0"/>
        <v>15</v>
      </c>
      <c r="B73" s="23">
        <f t="shared" si="1"/>
        <v>18468.748097991411</v>
      </c>
      <c r="C73" s="23"/>
      <c r="D73" s="23">
        <f t="shared" si="2"/>
        <v>645477.75694316556</v>
      </c>
      <c r="E73" s="28">
        <f t="shared" si="3"/>
        <v>66394.650504115707</v>
      </c>
      <c r="F73" s="23"/>
      <c r="G73" s="28">
        <f t="shared" si="4"/>
        <v>84863.398602107118</v>
      </c>
      <c r="H73" s="27"/>
      <c r="I73" s="27"/>
      <c r="J73" s="25">
        <f t="shared" si="5"/>
        <v>5508.0989009639561</v>
      </c>
      <c r="K73" s="3"/>
    </row>
    <row r="74" spans="1:11" ht="15">
      <c r="A74" s="21">
        <f t="shared" si="0"/>
        <v>16</v>
      </c>
      <c r="B74" s="23">
        <f t="shared" si="1"/>
        <v>20315.622907790559</v>
      </c>
      <c r="C74" s="23"/>
      <c r="D74" s="23">
        <f t="shared" si="2"/>
        <v>625162.13403537497</v>
      </c>
      <c r="E74" s="28">
        <f t="shared" si="3"/>
        <v>64547.775694316559</v>
      </c>
      <c r="F74" s="23"/>
      <c r="G74" s="28">
        <f t="shared" si="4"/>
        <v>84863.398602107118</v>
      </c>
      <c r="H74" s="27"/>
      <c r="I74" s="27"/>
      <c r="J74" s="25">
        <f t="shared" si="5"/>
        <v>4590.0824174699646</v>
      </c>
      <c r="K74" s="3"/>
    </row>
    <row r="75" spans="1:11" ht="15">
      <c r="A75" s="21">
        <f t="shared" si="0"/>
        <v>17</v>
      </c>
      <c r="B75" s="23">
        <f t="shared" si="1"/>
        <v>22347.185198569619</v>
      </c>
      <c r="C75" s="23"/>
      <c r="D75" s="23">
        <f t="shared" si="2"/>
        <v>602814.9488368053</v>
      </c>
      <c r="E75" s="28">
        <f t="shared" si="3"/>
        <v>62516.213403537498</v>
      </c>
      <c r="F75" s="23"/>
      <c r="G75" s="28">
        <f t="shared" si="4"/>
        <v>84863.398602107118</v>
      </c>
      <c r="H75" s="27"/>
      <c r="I75" s="27"/>
      <c r="J75" s="25">
        <f t="shared" si="5"/>
        <v>3825.0686812249701</v>
      </c>
      <c r="K75" s="3"/>
    </row>
    <row r="76" spans="1:11" ht="15">
      <c r="A76" s="21">
        <f t="shared" si="0"/>
        <v>18</v>
      </c>
      <c r="B76" s="23">
        <f t="shared" si="1"/>
        <v>24581.903718426584</v>
      </c>
      <c r="C76" s="23"/>
      <c r="D76" s="23">
        <f t="shared" si="2"/>
        <v>578233.04511837871</v>
      </c>
      <c r="E76" s="28">
        <f t="shared" si="3"/>
        <v>60281.494883680534</v>
      </c>
      <c r="F76" s="23"/>
      <c r="G76" s="28">
        <f t="shared" si="4"/>
        <v>84863.398602107118</v>
      </c>
      <c r="H76" s="27"/>
      <c r="I76" s="27"/>
      <c r="J76" s="25">
        <f t="shared" si="5"/>
        <v>3187.5572343541417</v>
      </c>
      <c r="K76" s="3"/>
    </row>
    <row r="77" spans="1:11" ht="15">
      <c r="A77" s="21">
        <f t="shared" si="0"/>
        <v>19</v>
      </c>
      <c r="B77" s="23">
        <f t="shared" si="1"/>
        <v>27040.094090269245</v>
      </c>
      <c r="C77" s="23"/>
      <c r="D77" s="23">
        <f t="shared" si="2"/>
        <v>551192.95102810941</v>
      </c>
      <c r="E77" s="28">
        <f t="shared" si="3"/>
        <v>57823.304511837872</v>
      </c>
      <c r="F77" s="23"/>
      <c r="G77" s="28">
        <f t="shared" si="4"/>
        <v>84863.398602107118</v>
      </c>
      <c r="H77" s="27"/>
      <c r="I77" s="27"/>
      <c r="J77" s="25">
        <f t="shared" si="5"/>
        <v>2656.297695295118</v>
      </c>
      <c r="K77" s="3"/>
    </row>
    <row r="78" spans="1:11" ht="15">
      <c r="A78" s="21">
        <f t="shared" si="0"/>
        <v>20</v>
      </c>
      <c r="B78" s="23">
        <f t="shared" si="1"/>
        <v>29744.103499296172</v>
      </c>
      <c r="C78" s="23"/>
      <c r="D78" s="23">
        <f t="shared" si="2"/>
        <v>521448.84752881323</v>
      </c>
      <c r="E78" s="28">
        <f t="shared" si="3"/>
        <v>55119.295102810946</v>
      </c>
      <c r="F78" s="23"/>
      <c r="G78" s="28">
        <f t="shared" si="4"/>
        <v>84863.398602107118</v>
      </c>
      <c r="H78" s="27"/>
      <c r="I78" s="27"/>
      <c r="J78" s="25">
        <f t="shared" si="5"/>
        <v>2213.5814127459316</v>
      </c>
      <c r="K78" s="3"/>
    </row>
    <row r="79" spans="1:11" ht="15">
      <c r="A79" s="21">
        <f t="shared" si="0"/>
        <v>21</v>
      </c>
      <c r="B79" s="23">
        <f t="shared" si="1"/>
        <v>32718.51384922579</v>
      </c>
      <c r="C79" s="23"/>
      <c r="D79" s="23">
        <f t="shared" si="2"/>
        <v>488730.33367958746</v>
      </c>
      <c r="E79" s="28">
        <f t="shared" si="3"/>
        <v>52144.884752881328</v>
      </c>
      <c r="F79" s="23"/>
      <c r="G79" s="28">
        <f t="shared" si="4"/>
        <v>84863.398602107118</v>
      </c>
      <c r="H79" s="27"/>
      <c r="I79" s="27"/>
      <c r="J79" s="25">
        <f t="shared" si="5"/>
        <v>1844.6511772882766</v>
      </c>
      <c r="K79" s="3"/>
    </row>
    <row r="80" spans="1:11" ht="15">
      <c r="A80" s="21">
        <f t="shared" si="0"/>
        <v>22</v>
      </c>
      <c r="B80" s="23">
        <f t="shared" si="1"/>
        <v>35990.365234148368</v>
      </c>
      <c r="C80" s="23"/>
      <c r="D80" s="23">
        <f t="shared" si="2"/>
        <v>452739.96844543912</v>
      </c>
      <c r="E80" s="28">
        <f t="shared" si="3"/>
        <v>48873.033367958749</v>
      </c>
      <c r="F80" s="23"/>
      <c r="G80" s="28">
        <f t="shared" si="4"/>
        <v>84863.398602107118</v>
      </c>
      <c r="H80" s="27"/>
      <c r="I80" s="27"/>
      <c r="J80" s="25">
        <f t="shared" si="5"/>
        <v>1537.2093144068974</v>
      </c>
      <c r="K80" s="3"/>
    </row>
    <row r="81" spans="1:11" ht="15">
      <c r="A81" s="21">
        <f t="shared" si="0"/>
        <v>23</v>
      </c>
      <c r="B81" s="23">
        <f t="shared" si="1"/>
        <v>39589.401757563202</v>
      </c>
      <c r="C81" s="23"/>
      <c r="D81" s="23">
        <f t="shared" si="2"/>
        <v>413150.56668787589</v>
      </c>
      <c r="E81" s="28">
        <f t="shared" si="3"/>
        <v>45273.996844543915</v>
      </c>
      <c r="F81" s="23"/>
      <c r="G81" s="28">
        <f t="shared" si="4"/>
        <v>84863.398602107118</v>
      </c>
      <c r="H81" s="27"/>
      <c r="I81" s="27"/>
      <c r="J81" s="25">
        <f t="shared" si="5"/>
        <v>1281.0077620057477</v>
      </c>
      <c r="K81" s="3"/>
    </row>
    <row r="82" spans="1:11" ht="15">
      <c r="A82" s="21">
        <f t="shared" si="0"/>
        <v>24</v>
      </c>
      <c r="B82" s="23">
        <f t="shared" si="1"/>
        <v>43548.341933319527</v>
      </c>
      <c r="C82" s="23"/>
      <c r="D82" s="23">
        <f t="shared" si="2"/>
        <v>369602.22475455637</v>
      </c>
      <c r="E82" s="28">
        <f t="shared" si="3"/>
        <v>41315.056668787591</v>
      </c>
      <c r="F82" s="23"/>
      <c r="G82" s="28">
        <f t="shared" si="4"/>
        <v>84863.398602107118</v>
      </c>
      <c r="H82" s="27"/>
      <c r="I82" s="27"/>
      <c r="J82" s="25">
        <f t="shared" si="5"/>
        <v>1067.5064683381231</v>
      </c>
      <c r="K82" s="3"/>
    </row>
    <row r="83" spans="1:11" ht="15">
      <c r="A83" s="21">
        <f>A82+1</f>
        <v>25</v>
      </c>
      <c r="B83" s="23">
        <f t="shared" si="1"/>
        <v>47903.17612665148</v>
      </c>
      <c r="C83" s="23"/>
      <c r="D83" s="23">
        <f t="shared" si="2"/>
        <v>321699.04862790491</v>
      </c>
      <c r="E83" s="28">
        <f t="shared" si="3"/>
        <v>36960.222475455637</v>
      </c>
      <c r="F83" s="23"/>
      <c r="G83" s="28">
        <f t="shared" si="4"/>
        <v>84863.398602107118</v>
      </c>
      <c r="H83" s="27"/>
      <c r="I83" s="27"/>
      <c r="J83" s="25">
        <f t="shared" si="5"/>
        <v>889.58872361510259</v>
      </c>
      <c r="K83" s="3"/>
    </row>
    <row r="84" spans="1:11" ht="15">
      <c r="A84" s="21">
        <f t="shared" si="0"/>
        <v>26</v>
      </c>
      <c r="B84" s="23">
        <f t="shared" si="1"/>
        <v>52693.493739316626</v>
      </c>
      <c r="C84" s="23"/>
      <c r="D84" s="23">
        <f t="shared" si="2"/>
        <v>269005.55488858826</v>
      </c>
      <c r="E84" s="28">
        <f t="shared" si="3"/>
        <v>32169.904862790492</v>
      </c>
      <c r="F84" s="23"/>
      <c r="G84" s="28">
        <f t="shared" si="4"/>
        <v>84863.398602107118</v>
      </c>
      <c r="H84" s="27"/>
      <c r="I84" s="27"/>
      <c r="J84" s="25">
        <f t="shared" si="5"/>
        <v>741.32393634591881</v>
      </c>
      <c r="K84" s="3"/>
    </row>
    <row r="85" spans="1:11" ht="15">
      <c r="A85" s="21">
        <f t="shared" si="0"/>
        <v>27</v>
      </c>
      <c r="B85" s="23">
        <f t="shared" si="1"/>
        <v>57962.843113248295</v>
      </c>
      <c r="C85" s="23"/>
      <c r="D85" s="23">
        <f t="shared" si="2"/>
        <v>211042.71177533997</v>
      </c>
      <c r="E85" s="28">
        <f t="shared" si="3"/>
        <v>26900.555488858827</v>
      </c>
      <c r="F85" s="23"/>
      <c r="G85" s="28">
        <f t="shared" si="4"/>
        <v>84863.398602107118</v>
      </c>
      <c r="H85" s="27"/>
      <c r="I85" s="27"/>
      <c r="J85" s="25">
        <f t="shared" si="5"/>
        <v>617.76994695493238</v>
      </c>
      <c r="K85" s="3"/>
    </row>
    <row r="86" spans="1:11" ht="15">
      <c r="A86" s="21">
        <f t="shared" si="0"/>
        <v>28</v>
      </c>
      <c r="B86" s="23">
        <f t="shared" si="1"/>
        <v>63759.127424573118</v>
      </c>
      <c r="C86" s="23"/>
      <c r="D86" s="23">
        <f t="shared" si="2"/>
        <v>147283.58435076685</v>
      </c>
      <c r="E86" s="28">
        <f t="shared" si="3"/>
        <v>21104.271177533999</v>
      </c>
      <c r="F86" s="23"/>
      <c r="G86" s="28">
        <f t="shared" si="4"/>
        <v>84863.398602107118</v>
      </c>
      <c r="H86" s="27"/>
      <c r="I86" s="27"/>
      <c r="J86" s="25">
        <f t="shared" si="5"/>
        <v>514.80828912911034</v>
      </c>
      <c r="K86" s="3"/>
    </row>
    <row r="87" spans="1:11" ht="15">
      <c r="A87" s="21">
        <f t="shared" si="0"/>
        <v>29</v>
      </c>
      <c r="B87" s="23">
        <f t="shared" si="1"/>
        <v>70135.040167030427</v>
      </c>
      <c r="C87" s="23"/>
      <c r="D87" s="23">
        <f t="shared" si="2"/>
        <v>77148.54418373642</v>
      </c>
      <c r="E87" s="28">
        <f t="shared" si="3"/>
        <v>14728.358435076685</v>
      </c>
      <c r="F87" s="23"/>
      <c r="G87" s="28">
        <f t="shared" si="4"/>
        <v>84863.398602107118</v>
      </c>
      <c r="H87" s="27"/>
      <c r="I87" s="27"/>
      <c r="J87" s="25">
        <f t="shared" si="5"/>
        <v>429.00690760759193</v>
      </c>
      <c r="K87" s="3"/>
    </row>
    <row r="88" spans="1:11" ht="15">
      <c r="A88" s="21">
        <f>A87+1</f>
        <v>30</v>
      </c>
      <c r="B88" s="23">
        <f t="shared" si="1"/>
        <v>77148.54418373348</v>
      </c>
      <c r="C88" s="23"/>
      <c r="D88" s="23">
        <f t="shared" si="2"/>
        <v>2.9394868761301041E-9</v>
      </c>
      <c r="E88" s="28">
        <f t="shared" si="3"/>
        <v>7714.8544183736421</v>
      </c>
      <c r="F88" s="23"/>
      <c r="G88" s="28">
        <f t="shared" si="4"/>
        <v>84863.398602107118</v>
      </c>
      <c r="H88" s="27"/>
      <c r="I88" s="27"/>
      <c r="J88" s="25">
        <f t="shared" si="5"/>
        <v>357.50575633965997</v>
      </c>
      <c r="K88" s="3"/>
    </row>
    <row r="89" spans="1:11" ht="1.5" customHeight="1">
      <c r="A89" s="19"/>
      <c r="B89" s="19"/>
      <c r="C89" s="19"/>
      <c r="D89" s="19"/>
      <c r="E89" s="19"/>
      <c r="F89" s="19"/>
      <c r="G89" s="19"/>
      <c r="H89" s="19"/>
      <c r="I89" s="19"/>
      <c r="J89" s="26"/>
      <c r="K89" s="3"/>
    </row>
    <row r="90" spans="1:11" ht="15">
      <c r="A90" s="20" t="s">
        <v>33</v>
      </c>
      <c r="B90" s="20"/>
      <c r="C90" s="20"/>
      <c r="D90" s="20"/>
      <c r="E90" s="20"/>
      <c r="F90" s="20"/>
      <c r="G90" s="20"/>
      <c r="H90" s="20"/>
      <c r="I90" s="20"/>
      <c r="J90" s="39">
        <f>SUM(J59:J89)</f>
        <v>422529.46422883723</v>
      </c>
      <c r="K90" s="3"/>
    </row>
    <row r="91" spans="1:11" ht="3" customHeight="1">
      <c r="A91" s="20"/>
      <c r="B91" s="20"/>
      <c r="C91" s="20"/>
      <c r="D91" s="20"/>
      <c r="E91" s="20"/>
      <c r="F91" s="20"/>
      <c r="G91" s="20"/>
      <c r="H91" s="20"/>
      <c r="I91" s="20"/>
      <c r="J91" s="24"/>
      <c r="K91" s="3"/>
    </row>
    <row r="92" spans="1:1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20.399999999999999">
      <c r="A97" s="1" t="s">
        <v>56</v>
      </c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.6">
      <c r="A99" s="37" t="s">
        <v>23</v>
      </c>
      <c r="B99" s="38"/>
      <c r="C99" s="3"/>
      <c r="D99" s="3"/>
      <c r="E99" s="3"/>
      <c r="F99" s="3"/>
      <c r="G99" s="3"/>
      <c r="H99" s="3"/>
      <c r="I99" s="3"/>
      <c r="J99" s="3"/>
      <c r="K99" s="3"/>
    </row>
    <row r="100" spans="1:11" ht="15.6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">
      <c r="A101" s="20" t="s">
        <v>57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">
      <c r="A103" s="3"/>
      <c r="B103" s="20" t="s">
        <v>15</v>
      </c>
      <c r="C103" s="20" t="s">
        <v>3</v>
      </c>
      <c r="D103" s="20">
        <v>0.1</v>
      </c>
      <c r="E103" s="20"/>
      <c r="F103" s="20"/>
      <c r="G103" s="20"/>
      <c r="H103" s="3"/>
      <c r="I103" s="3"/>
      <c r="J103" s="3"/>
      <c r="K103" s="3"/>
    </row>
    <row r="104" spans="1:11" ht="15">
      <c r="A104" s="3"/>
      <c r="B104" s="20" t="s">
        <v>16</v>
      </c>
      <c r="C104" s="20" t="s">
        <v>3</v>
      </c>
      <c r="D104" s="20">
        <v>30</v>
      </c>
      <c r="E104" s="20"/>
      <c r="F104" s="20"/>
      <c r="G104" s="20"/>
      <c r="H104" s="3"/>
      <c r="I104" s="3"/>
      <c r="J104" s="3"/>
      <c r="K104" s="3"/>
    </row>
    <row r="105" spans="1:11" ht="15">
      <c r="A105" s="3"/>
      <c r="B105" s="20" t="s">
        <v>19</v>
      </c>
      <c r="C105" s="20" t="s">
        <v>3</v>
      </c>
      <c r="D105" s="20">
        <v>1</v>
      </c>
      <c r="E105" s="20"/>
      <c r="F105" s="20"/>
      <c r="G105" s="20"/>
      <c r="H105" s="3"/>
      <c r="I105" s="3"/>
      <c r="J105" s="3"/>
      <c r="K105" s="3"/>
    </row>
    <row r="106" spans="1:11" ht="15">
      <c r="A106" s="3"/>
      <c r="B106" s="20" t="s">
        <v>18</v>
      </c>
      <c r="C106" s="20" t="s">
        <v>3</v>
      </c>
      <c r="D106" s="20">
        <v>0</v>
      </c>
      <c r="E106" s="20"/>
      <c r="F106" s="20"/>
      <c r="G106" s="20"/>
      <c r="H106" s="3"/>
      <c r="I106" s="3"/>
      <c r="J106" s="3"/>
      <c r="K106" s="3"/>
    </row>
    <row r="107" spans="1:11" ht="7.5" customHeight="1">
      <c r="A107" s="3"/>
      <c r="B107" s="20"/>
      <c r="C107" s="20"/>
      <c r="D107" s="20"/>
      <c r="E107" s="20"/>
      <c r="F107" s="20"/>
      <c r="G107" s="20"/>
      <c r="H107" s="3"/>
      <c r="I107" s="3"/>
      <c r="J107" s="3"/>
      <c r="K107" s="3"/>
    </row>
    <row r="108" spans="1:11" ht="15">
      <c r="A108" s="3"/>
      <c r="B108" s="20" t="s">
        <v>17</v>
      </c>
      <c r="C108" s="20" t="s">
        <v>3</v>
      </c>
      <c r="D108" s="32" t="s">
        <v>50</v>
      </c>
      <c r="E108" s="20"/>
      <c r="F108" s="20" t="s">
        <v>3</v>
      </c>
      <c r="G108" s="33">
        <f>PMT(D103,D104,-D105,D106)</f>
        <v>0.1060792482526339</v>
      </c>
      <c r="H108" s="3"/>
      <c r="I108" s="3" t="s">
        <v>3</v>
      </c>
      <c r="J108" s="3"/>
      <c r="K108" s="3"/>
    </row>
    <row r="109" spans="1:11" ht="19.5" customHeight="1">
      <c r="A109" s="3"/>
      <c r="B109" s="20"/>
      <c r="C109" s="20"/>
      <c r="D109" s="20"/>
      <c r="E109" s="20"/>
      <c r="F109" s="20"/>
      <c r="G109" s="33"/>
      <c r="H109" s="3"/>
      <c r="I109" s="3"/>
      <c r="J109" s="3"/>
      <c r="K109" s="3"/>
    </row>
    <row r="110" spans="1:11" ht="15">
      <c r="A110" s="3"/>
      <c r="B110" s="20" t="s">
        <v>15</v>
      </c>
      <c r="C110" s="20" t="s">
        <v>3</v>
      </c>
      <c r="D110" s="20">
        <v>0.2</v>
      </c>
      <c r="E110" s="20"/>
      <c r="F110" s="20"/>
      <c r="G110" s="33"/>
      <c r="H110" s="3"/>
      <c r="I110" s="3"/>
      <c r="J110" s="3"/>
      <c r="K110" s="3"/>
    </row>
    <row r="111" spans="1:11" ht="15">
      <c r="A111" s="3"/>
      <c r="B111" s="20" t="s">
        <v>16</v>
      </c>
      <c r="C111" s="20" t="s">
        <v>3</v>
      </c>
      <c r="D111" s="20">
        <v>30</v>
      </c>
      <c r="E111" s="20"/>
      <c r="F111" s="20"/>
      <c r="G111" s="33"/>
      <c r="H111" s="3"/>
      <c r="I111" s="3"/>
      <c r="J111" s="3"/>
      <c r="K111" s="3"/>
    </row>
    <row r="112" spans="1:11" ht="15">
      <c r="A112" s="3"/>
      <c r="B112" s="20" t="s">
        <v>17</v>
      </c>
      <c r="C112" s="20" t="s">
        <v>3</v>
      </c>
      <c r="D112" s="20">
        <v>1</v>
      </c>
      <c r="E112" s="20"/>
      <c r="F112" s="20"/>
      <c r="G112" s="33"/>
      <c r="H112" s="3"/>
      <c r="I112" s="3"/>
      <c r="J112" s="3"/>
      <c r="K112" s="3"/>
    </row>
    <row r="113" spans="1:11" ht="15">
      <c r="A113" s="3"/>
      <c r="B113" s="20" t="s">
        <v>18</v>
      </c>
      <c r="C113" s="20" t="s">
        <v>3</v>
      </c>
      <c r="D113" s="20">
        <v>0</v>
      </c>
      <c r="E113" s="20"/>
      <c r="F113" s="20"/>
      <c r="G113" s="33"/>
      <c r="H113" s="3"/>
      <c r="I113" s="3"/>
      <c r="J113" s="3"/>
      <c r="K113" s="3"/>
    </row>
    <row r="114" spans="1:11" ht="6" customHeight="1">
      <c r="A114" s="3"/>
      <c r="B114" s="20"/>
      <c r="C114" s="20"/>
      <c r="D114" s="20"/>
      <c r="E114" s="20"/>
      <c r="F114" s="20"/>
      <c r="G114" s="33"/>
      <c r="H114" s="3"/>
      <c r="I114" s="3"/>
      <c r="J114" s="3"/>
      <c r="K114" s="3"/>
    </row>
    <row r="115" spans="1:11" ht="15">
      <c r="A115" s="3"/>
      <c r="B115" s="20" t="s">
        <v>19</v>
      </c>
      <c r="C115" s="20" t="s">
        <v>3</v>
      </c>
      <c r="D115" s="32" t="s">
        <v>49</v>
      </c>
      <c r="E115" s="20"/>
      <c r="F115" s="20" t="s">
        <v>3</v>
      </c>
      <c r="G115" s="33">
        <f>PV(D110,D111,-D112,D113)</f>
        <v>4.9789363988345627</v>
      </c>
      <c r="H115" s="3"/>
      <c r="I115" s="3" t="s">
        <v>3</v>
      </c>
      <c r="J115" s="3"/>
      <c r="K115" s="3"/>
    </row>
    <row r="116" spans="1:11" ht="15">
      <c r="A116" s="3"/>
      <c r="B116" s="20"/>
      <c r="C116" s="20"/>
      <c r="D116" s="32"/>
      <c r="E116" s="20"/>
      <c r="F116" s="20"/>
      <c r="G116" s="33"/>
      <c r="H116" s="3"/>
      <c r="I116" s="3"/>
      <c r="J116" s="3"/>
      <c r="K116" s="3"/>
    </row>
    <row r="117" spans="1:11" ht="15">
      <c r="A117" s="3"/>
      <c r="B117" s="20" t="s">
        <v>51</v>
      </c>
      <c r="C117" s="20" t="s">
        <v>3</v>
      </c>
      <c r="D117" s="32"/>
      <c r="E117" s="20"/>
      <c r="F117" s="20"/>
      <c r="G117" s="33"/>
      <c r="H117" s="3"/>
      <c r="I117" s="3"/>
      <c r="J117" s="3"/>
      <c r="K117" s="3"/>
    </row>
    <row r="118" spans="1:11" ht="8.25" customHeight="1">
      <c r="A118" s="3"/>
      <c r="B118" s="20"/>
      <c r="C118" s="20"/>
      <c r="D118" s="32"/>
      <c r="E118" s="20"/>
      <c r="F118" s="20"/>
      <c r="G118" s="33"/>
      <c r="H118" s="3"/>
      <c r="I118" s="3"/>
      <c r="J118" s="3"/>
      <c r="K118" s="3"/>
    </row>
    <row r="119" spans="1:11" ht="15">
      <c r="A119" s="3"/>
      <c r="B119" s="20" t="s">
        <v>51</v>
      </c>
      <c r="C119" s="20" t="s">
        <v>3</v>
      </c>
      <c r="D119" s="32" t="s">
        <v>52</v>
      </c>
      <c r="E119" s="20"/>
      <c r="F119" s="20" t="s">
        <v>3</v>
      </c>
      <c r="G119" s="33">
        <f>100*G108*G115</f>
        <v>52.816183028604662</v>
      </c>
      <c r="H119" s="3"/>
      <c r="I119" s="3"/>
      <c r="J119" s="3"/>
      <c r="K119" s="3"/>
    </row>
    <row r="120" spans="1:11" ht="5.25" customHeight="1">
      <c r="A120" s="3"/>
      <c r="B120" s="20"/>
      <c r="C120" s="20"/>
      <c r="D120" s="32"/>
      <c r="E120" s="20"/>
      <c r="F120" s="20"/>
      <c r="G120" s="33"/>
      <c r="H120" s="3"/>
      <c r="I120" s="3"/>
      <c r="J120" s="3"/>
      <c r="K120" s="3"/>
    </row>
    <row r="121" spans="1:11" ht="15.6" thickBot="1">
      <c r="A121" s="3"/>
      <c r="B121" s="20" t="s">
        <v>53</v>
      </c>
      <c r="C121" s="20" t="s">
        <v>3</v>
      </c>
      <c r="D121" s="32" t="s">
        <v>54</v>
      </c>
      <c r="E121" s="20"/>
      <c r="F121" s="20" t="s">
        <v>3</v>
      </c>
      <c r="G121" s="43">
        <f>(G119/100)*800000</f>
        <v>422529.46422883729</v>
      </c>
      <c r="H121" s="3"/>
      <c r="I121" s="3"/>
      <c r="J121" s="3"/>
      <c r="K121" s="3"/>
    </row>
    <row r="122" spans="1:11" ht="15.6" thickTop="1">
      <c r="A122" s="3"/>
      <c r="D122" s="3"/>
      <c r="E122" s="3"/>
      <c r="F122" s="3"/>
      <c r="G122" s="3"/>
      <c r="H122" s="3"/>
      <c r="I122" s="3"/>
      <c r="J122" s="3"/>
      <c r="K122" s="3"/>
    </row>
    <row r="123" spans="1:11" ht="15">
      <c r="A123" s="29" t="s">
        <v>35</v>
      </c>
      <c r="D123" s="3"/>
      <c r="E123" s="3"/>
      <c r="F123" s="3"/>
      <c r="G123" s="3"/>
      <c r="H123" s="3"/>
      <c r="I123" s="3"/>
      <c r="J123" s="3"/>
      <c r="K123" s="3"/>
    </row>
    <row r="124" spans="1:1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">
      <c r="A125" s="16"/>
      <c r="B125" s="16"/>
      <c r="C125" s="16"/>
      <c r="D125" s="16" t="s">
        <v>24</v>
      </c>
      <c r="E125" s="16"/>
      <c r="F125" s="16"/>
      <c r="G125" s="17"/>
      <c r="H125" s="18"/>
      <c r="I125" s="19"/>
      <c r="J125" s="16" t="s">
        <v>25</v>
      </c>
      <c r="K125" s="3"/>
    </row>
    <row r="126" spans="1:11" ht="15">
      <c r="A126" s="16" t="s">
        <v>26</v>
      </c>
      <c r="B126" s="16" t="s">
        <v>27</v>
      </c>
      <c r="C126" s="18"/>
      <c r="D126" s="16" t="s">
        <v>28</v>
      </c>
      <c r="E126" s="16" t="s">
        <v>29</v>
      </c>
      <c r="F126" s="18"/>
      <c r="G126" s="16" t="s">
        <v>30</v>
      </c>
      <c r="H126" s="18"/>
      <c r="I126" s="19"/>
      <c r="J126" s="16" t="s">
        <v>32</v>
      </c>
      <c r="K126" s="3"/>
    </row>
    <row r="127" spans="1:11" ht="15">
      <c r="A127" s="21">
        <v>0</v>
      </c>
      <c r="B127" s="23"/>
      <c r="C127" s="23"/>
      <c r="D127" s="23">
        <v>200000</v>
      </c>
      <c r="E127" s="23"/>
      <c r="F127" s="23"/>
      <c r="G127" s="23"/>
      <c r="H127" s="27"/>
      <c r="I127" s="27"/>
      <c r="J127" s="27"/>
      <c r="K127" s="3"/>
    </row>
    <row r="128" spans="1:11" ht="15">
      <c r="A128" s="21">
        <f>A127+1</f>
        <v>1</v>
      </c>
      <c r="B128" s="23">
        <f t="shared" ref="B128:B137" si="6">$D$127/10</f>
        <v>20000</v>
      </c>
      <c r="C128" s="23"/>
      <c r="D128" s="23">
        <f>D127-B128</f>
        <v>180000</v>
      </c>
      <c r="E128" s="28">
        <f>D127*0.1</f>
        <v>20000</v>
      </c>
      <c r="F128" s="23"/>
      <c r="G128" s="28">
        <f>B128+E128</f>
        <v>40000</v>
      </c>
      <c r="H128" s="27"/>
      <c r="I128" s="27"/>
      <c r="J128" s="25">
        <f>G128/(1+0.2)^A128</f>
        <v>33333.333333333336</v>
      </c>
      <c r="K128" s="3"/>
    </row>
    <row r="129" spans="1:11" ht="15">
      <c r="A129" s="21">
        <f t="shared" ref="A129:A137" si="7">A128+1</f>
        <v>2</v>
      </c>
      <c r="B129" s="23">
        <f t="shared" si="6"/>
        <v>20000</v>
      </c>
      <c r="C129" s="3"/>
      <c r="D129" s="23">
        <f t="shared" ref="D129:D137" si="8">D128-B129</f>
        <v>160000</v>
      </c>
      <c r="E129" s="28">
        <f t="shared" ref="E129:E137" si="9">D128*0.1</f>
        <v>18000</v>
      </c>
      <c r="F129" s="3"/>
      <c r="G129" s="28">
        <f t="shared" ref="G129:G137" si="10">B129+E129</f>
        <v>38000</v>
      </c>
      <c r="H129" s="3"/>
      <c r="I129" s="3"/>
      <c r="J129" s="25">
        <f t="shared" ref="J129:J137" si="11">G129/(1+0.2)^A129</f>
        <v>26388.888888888891</v>
      </c>
      <c r="K129" s="3"/>
    </row>
    <row r="130" spans="1:11" ht="15">
      <c r="A130" s="21">
        <f t="shared" si="7"/>
        <v>3</v>
      </c>
      <c r="B130" s="23">
        <f t="shared" si="6"/>
        <v>20000</v>
      </c>
      <c r="C130" s="3"/>
      <c r="D130" s="23">
        <f t="shared" si="8"/>
        <v>140000</v>
      </c>
      <c r="E130" s="28">
        <f t="shared" si="9"/>
        <v>16000</v>
      </c>
      <c r="F130" s="3"/>
      <c r="G130" s="28">
        <f t="shared" si="10"/>
        <v>36000</v>
      </c>
      <c r="H130" s="3"/>
      <c r="I130" s="3"/>
      <c r="J130" s="25">
        <f t="shared" si="11"/>
        <v>20833.333333333332</v>
      </c>
      <c r="K130" s="3"/>
    </row>
    <row r="131" spans="1:11" ht="15">
      <c r="A131" s="21">
        <f t="shared" si="7"/>
        <v>4</v>
      </c>
      <c r="B131" s="23">
        <f t="shared" si="6"/>
        <v>20000</v>
      </c>
      <c r="C131" s="3"/>
      <c r="D131" s="23">
        <f t="shared" si="8"/>
        <v>120000</v>
      </c>
      <c r="E131" s="28">
        <f t="shared" si="9"/>
        <v>14000</v>
      </c>
      <c r="F131" s="3"/>
      <c r="G131" s="28">
        <f t="shared" si="10"/>
        <v>34000</v>
      </c>
      <c r="H131" s="3"/>
      <c r="I131" s="3"/>
      <c r="J131" s="25">
        <f t="shared" si="11"/>
        <v>16396.604938271605</v>
      </c>
      <c r="K131" s="3"/>
    </row>
    <row r="132" spans="1:11" ht="15">
      <c r="A132" s="21">
        <f t="shared" si="7"/>
        <v>5</v>
      </c>
      <c r="B132" s="23">
        <f t="shared" si="6"/>
        <v>20000</v>
      </c>
      <c r="C132" s="3"/>
      <c r="D132" s="23">
        <f t="shared" si="8"/>
        <v>100000</v>
      </c>
      <c r="E132" s="28">
        <f t="shared" si="9"/>
        <v>12000</v>
      </c>
      <c r="F132" s="3"/>
      <c r="G132" s="28">
        <f t="shared" si="10"/>
        <v>32000</v>
      </c>
      <c r="H132" s="3"/>
      <c r="I132" s="3"/>
      <c r="J132" s="25">
        <f t="shared" si="11"/>
        <v>12860.08230452675</v>
      </c>
      <c r="K132" s="3"/>
    </row>
    <row r="133" spans="1:11" ht="15">
      <c r="A133" s="21">
        <f t="shared" si="7"/>
        <v>6</v>
      </c>
      <c r="B133" s="23">
        <f t="shared" si="6"/>
        <v>20000</v>
      </c>
      <c r="C133" s="3"/>
      <c r="D133" s="23">
        <f t="shared" si="8"/>
        <v>80000</v>
      </c>
      <c r="E133" s="28">
        <f t="shared" si="9"/>
        <v>10000</v>
      </c>
      <c r="F133" s="3"/>
      <c r="G133" s="28">
        <f t="shared" si="10"/>
        <v>30000</v>
      </c>
      <c r="H133" s="3"/>
      <c r="I133" s="3"/>
      <c r="J133" s="25">
        <f t="shared" si="11"/>
        <v>10046.939300411523</v>
      </c>
      <c r="K133" s="3"/>
    </row>
    <row r="134" spans="1:11" ht="15">
      <c r="A134" s="21">
        <f t="shared" si="7"/>
        <v>7</v>
      </c>
      <c r="B134" s="23">
        <f t="shared" si="6"/>
        <v>20000</v>
      </c>
      <c r="C134" s="3"/>
      <c r="D134" s="23">
        <f t="shared" si="8"/>
        <v>60000</v>
      </c>
      <c r="E134" s="28">
        <f t="shared" si="9"/>
        <v>8000</v>
      </c>
      <c r="F134" s="3"/>
      <c r="G134" s="28">
        <f t="shared" si="10"/>
        <v>28000</v>
      </c>
      <c r="H134" s="3"/>
      <c r="I134" s="3"/>
      <c r="J134" s="25">
        <f t="shared" si="11"/>
        <v>7814.2861225422967</v>
      </c>
      <c r="K134" s="3"/>
    </row>
    <row r="135" spans="1:11" ht="15">
      <c r="A135" s="21">
        <f t="shared" si="7"/>
        <v>8</v>
      </c>
      <c r="B135" s="23">
        <f t="shared" si="6"/>
        <v>20000</v>
      </c>
      <c r="C135" s="3"/>
      <c r="D135" s="23">
        <f t="shared" si="8"/>
        <v>40000</v>
      </c>
      <c r="E135" s="28">
        <f t="shared" si="9"/>
        <v>6000</v>
      </c>
      <c r="F135" s="3"/>
      <c r="G135" s="28">
        <f t="shared" si="10"/>
        <v>26000</v>
      </c>
      <c r="H135" s="3"/>
      <c r="I135" s="3"/>
      <c r="J135" s="25">
        <f t="shared" si="11"/>
        <v>6046.7690233958247</v>
      </c>
      <c r="K135" s="3"/>
    </row>
    <row r="136" spans="1:11" ht="15">
      <c r="A136" s="21">
        <f t="shared" si="7"/>
        <v>9</v>
      </c>
      <c r="B136" s="23">
        <f t="shared" si="6"/>
        <v>20000</v>
      </c>
      <c r="C136" s="3"/>
      <c r="D136" s="23">
        <f t="shared" si="8"/>
        <v>20000</v>
      </c>
      <c r="E136" s="28">
        <f t="shared" si="9"/>
        <v>4000</v>
      </c>
      <c r="F136" s="3"/>
      <c r="G136" s="28">
        <f t="shared" si="10"/>
        <v>24000</v>
      </c>
      <c r="H136" s="3"/>
      <c r="I136" s="3"/>
      <c r="J136" s="25">
        <f t="shared" si="11"/>
        <v>4651.360787227557</v>
      </c>
      <c r="K136" s="3"/>
    </row>
    <row r="137" spans="1:11" ht="15">
      <c r="A137" s="21">
        <f t="shared" si="7"/>
        <v>10</v>
      </c>
      <c r="B137" s="23">
        <f t="shared" si="6"/>
        <v>20000</v>
      </c>
      <c r="C137" s="3"/>
      <c r="D137" s="23">
        <f t="shared" si="8"/>
        <v>0</v>
      </c>
      <c r="E137" s="28">
        <f t="shared" si="9"/>
        <v>2000</v>
      </c>
      <c r="F137" s="3"/>
      <c r="G137" s="28">
        <f t="shared" si="10"/>
        <v>22000</v>
      </c>
      <c r="H137" s="3"/>
      <c r="I137" s="3"/>
      <c r="J137" s="25">
        <f t="shared" si="11"/>
        <v>3553.1228235766066</v>
      </c>
      <c r="K137" s="3"/>
    </row>
    <row r="138" spans="1:11" ht="1.5" customHeight="1">
      <c r="A138" s="16"/>
      <c r="B138" s="19"/>
      <c r="C138" s="19"/>
      <c r="D138" s="19"/>
      <c r="E138" s="19"/>
      <c r="F138" s="19"/>
      <c r="G138" s="19"/>
      <c r="H138" s="19"/>
      <c r="I138" s="19"/>
      <c r="J138" s="19"/>
      <c r="K138" s="3"/>
    </row>
    <row r="139" spans="1:11" ht="15">
      <c r="A139" s="20" t="s">
        <v>33</v>
      </c>
      <c r="B139" s="20"/>
      <c r="C139" s="20"/>
      <c r="D139" s="20"/>
      <c r="E139" s="20"/>
      <c r="F139" s="20"/>
      <c r="G139" s="20"/>
      <c r="H139" s="20"/>
      <c r="I139" s="20"/>
      <c r="J139" s="41">
        <f>SUM(J128:J137)</f>
        <v>141924.72085550771</v>
      </c>
      <c r="K139" s="3"/>
    </row>
    <row r="140" spans="1:11" ht="3" customHeight="1">
      <c r="A140" s="21"/>
      <c r="B140" s="3"/>
      <c r="C140" s="3"/>
      <c r="D140" s="3"/>
      <c r="E140" s="3"/>
      <c r="F140" s="3"/>
      <c r="G140" s="3"/>
      <c r="H140" s="3"/>
      <c r="I140" s="3"/>
      <c r="J140" s="40"/>
      <c r="K140" s="3"/>
    </row>
    <row r="141" spans="1:11" ht="15">
      <c r="A141" s="21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">
      <c r="A142" s="21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">
      <c r="A143" s="21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5">
      <c r="A144" s="21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.6">
      <c r="A145" s="21"/>
      <c r="B145" s="3"/>
      <c r="C145" s="3"/>
      <c r="D145" s="3"/>
      <c r="E145" s="3"/>
      <c r="F145" s="3"/>
      <c r="G145" s="3"/>
      <c r="H145" s="42"/>
      <c r="I145" s="3"/>
      <c r="J145" s="3"/>
      <c r="K145" s="3"/>
    </row>
    <row r="146" spans="1:11" ht="15">
      <c r="A146" s="21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">
      <c r="A147" s="21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">
      <c r="A148" s="21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20.399999999999999">
      <c r="A149" s="1" t="s">
        <v>56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.6">
      <c r="A151" s="37" t="s">
        <v>23</v>
      </c>
      <c r="B151" s="38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">
      <c r="A153" s="20" t="s">
        <v>55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3"/>
    </row>
    <row r="155" spans="1:11" ht="15">
      <c r="B155" s="20" t="s">
        <v>51</v>
      </c>
      <c r="C155" s="20" t="s">
        <v>3</v>
      </c>
      <c r="D155" s="20"/>
      <c r="E155" s="20"/>
      <c r="F155" s="20"/>
      <c r="G155" s="20"/>
      <c r="H155" s="20"/>
      <c r="I155" s="20"/>
      <c r="J155" s="20"/>
      <c r="K155" s="3"/>
    </row>
    <row r="156" spans="1:11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3"/>
    </row>
    <row r="157" spans="1:11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3"/>
    </row>
    <row r="158" spans="1:11" ht="15">
      <c r="A158" s="20"/>
      <c r="B158" s="20"/>
      <c r="C158" s="20" t="s">
        <v>3</v>
      </c>
      <c r="D158" s="20"/>
      <c r="E158" s="20"/>
      <c r="F158" s="20"/>
      <c r="G158" s="20"/>
      <c r="H158" s="20"/>
      <c r="I158" s="20"/>
      <c r="J158" s="20"/>
      <c r="K158" s="3"/>
    </row>
    <row r="159" spans="1:11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3"/>
    </row>
    <row r="160" spans="1:11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3"/>
    </row>
    <row r="161" spans="1:13" ht="15">
      <c r="A161" s="20"/>
      <c r="B161" s="20"/>
      <c r="C161" s="20" t="s">
        <v>3</v>
      </c>
      <c r="D161" s="20"/>
      <c r="E161" s="20"/>
      <c r="F161" s="20"/>
      <c r="G161" s="20"/>
      <c r="H161" s="20"/>
      <c r="I161" s="20"/>
      <c r="J161" s="20"/>
      <c r="K161" s="3"/>
    </row>
    <row r="162" spans="1:13" ht="13.5" customHeight="1">
      <c r="A162" s="21"/>
      <c r="B162" s="20"/>
      <c r="C162" s="20"/>
      <c r="D162" s="20"/>
      <c r="E162" s="20"/>
      <c r="F162" s="20"/>
      <c r="G162" s="20"/>
      <c r="H162" s="20"/>
      <c r="I162" s="20"/>
      <c r="J162" s="20"/>
      <c r="K162" s="3"/>
    </row>
    <row r="163" spans="1:13" ht="15">
      <c r="A163" s="21"/>
      <c r="B163" s="20"/>
      <c r="C163" s="20"/>
      <c r="D163" s="20"/>
      <c r="E163" s="20"/>
      <c r="F163" s="20"/>
      <c r="G163" s="20"/>
      <c r="H163" s="20"/>
      <c r="I163" s="20"/>
      <c r="J163" s="20"/>
      <c r="K163" s="3"/>
    </row>
    <row r="164" spans="1:13" ht="15">
      <c r="A164" s="21"/>
      <c r="B164" s="20"/>
      <c r="C164" s="20" t="s">
        <v>3</v>
      </c>
      <c r="D164" s="20">
        <v>70.962360500000003</v>
      </c>
      <c r="E164" s="20"/>
      <c r="F164" s="20"/>
      <c r="G164" s="20"/>
      <c r="H164" s="20"/>
      <c r="I164" s="20"/>
      <c r="J164" s="20"/>
      <c r="K164" s="3"/>
    </row>
    <row r="165" spans="1:13" ht="15">
      <c r="A165" s="21"/>
      <c r="B165" s="20"/>
      <c r="C165" s="20"/>
      <c r="D165" s="20"/>
      <c r="E165" s="20"/>
      <c r="F165" s="20"/>
      <c r="G165" s="20"/>
      <c r="H165" s="20"/>
      <c r="I165" s="20"/>
      <c r="J165" s="20"/>
      <c r="K165" s="3"/>
    </row>
    <row r="166" spans="1:13" ht="15.6" thickBot="1">
      <c r="A166" s="21"/>
      <c r="B166" s="20" t="s">
        <v>53</v>
      </c>
      <c r="C166" s="20" t="s">
        <v>3</v>
      </c>
      <c r="D166" s="45" t="s">
        <v>67</v>
      </c>
      <c r="E166" s="20"/>
      <c r="F166" s="20" t="s">
        <v>3</v>
      </c>
      <c r="G166" s="44">
        <f>(D164/100)*200000</f>
        <v>141924.72099999999</v>
      </c>
      <c r="H166" s="20"/>
      <c r="I166" s="20"/>
      <c r="J166" s="20"/>
      <c r="K166" s="3"/>
    </row>
    <row r="167" spans="1:13" ht="15.6" thickTop="1">
      <c r="A167" s="21"/>
      <c r="B167" s="20"/>
      <c r="C167" s="20"/>
      <c r="D167" s="20"/>
      <c r="E167" s="20"/>
      <c r="F167" s="20"/>
      <c r="G167" s="34"/>
      <c r="H167" s="20"/>
      <c r="I167" s="20"/>
      <c r="J167" s="20"/>
      <c r="K167" s="3"/>
    </row>
    <row r="168" spans="1:13" ht="15">
      <c r="A168" s="21"/>
      <c r="B168" s="20"/>
      <c r="C168" s="20"/>
      <c r="D168" s="20"/>
      <c r="E168" s="20"/>
      <c r="F168" s="20"/>
      <c r="G168" s="34"/>
      <c r="H168" s="20"/>
      <c r="I168" s="20"/>
      <c r="J168" s="20"/>
      <c r="K168" s="3"/>
    </row>
    <row r="169" spans="1:13" ht="15">
      <c r="A169" s="21"/>
      <c r="B169" s="20"/>
      <c r="C169" s="20"/>
      <c r="D169" s="20"/>
      <c r="E169" s="20"/>
      <c r="F169" s="20"/>
      <c r="G169" s="34"/>
      <c r="H169" s="20"/>
      <c r="I169" s="20"/>
      <c r="J169" s="20"/>
      <c r="K169" s="3"/>
    </row>
    <row r="170" spans="1:13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3"/>
    </row>
    <row r="171" spans="1:13" ht="15">
      <c r="A171" s="29" t="s">
        <v>36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3" ht="15">
      <c r="A173" s="3" t="s">
        <v>34</v>
      </c>
      <c r="B173" s="3"/>
      <c r="C173" s="3"/>
      <c r="D173" s="3"/>
      <c r="E173" s="3"/>
      <c r="F173" s="3"/>
      <c r="G173" s="3"/>
      <c r="H173" s="3"/>
      <c r="I173" s="3" t="s">
        <v>3</v>
      </c>
      <c r="J173" s="30">
        <f>J90</f>
        <v>422529.46422883723</v>
      </c>
      <c r="K173" s="3"/>
    </row>
    <row r="174" spans="1:13" ht="15">
      <c r="A174" s="3" t="s">
        <v>35</v>
      </c>
      <c r="B174" s="3"/>
      <c r="C174" s="3"/>
      <c r="D174" s="3"/>
      <c r="E174" s="3"/>
      <c r="F174" s="3"/>
      <c r="G174" s="3"/>
      <c r="H174" s="3"/>
      <c r="I174" s="3" t="s">
        <v>3</v>
      </c>
      <c r="J174" s="30">
        <f>J139</f>
        <v>141924.72085550771</v>
      </c>
      <c r="K174" s="3"/>
    </row>
    <row r="175" spans="1:13" ht="15">
      <c r="A175" s="3" t="s">
        <v>37</v>
      </c>
      <c r="B175" s="3"/>
      <c r="C175" s="3"/>
      <c r="D175" s="3"/>
      <c r="E175" s="3"/>
      <c r="F175" s="3"/>
      <c r="G175" s="3"/>
      <c r="H175" s="3"/>
      <c r="I175" s="3" t="s">
        <v>3</v>
      </c>
      <c r="J175" s="5">
        <v>200000</v>
      </c>
      <c r="K175" s="3"/>
      <c r="M175" s="47"/>
    </row>
    <row r="176" spans="1:13" ht="15.6" thickBot="1">
      <c r="A176" s="3" t="s">
        <v>5</v>
      </c>
      <c r="B176" s="3"/>
      <c r="C176" s="3"/>
      <c r="D176" s="3"/>
      <c r="E176" s="3"/>
      <c r="F176" s="3"/>
      <c r="G176" s="3"/>
      <c r="H176" s="3"/>
      <c r="I176" s="3" t="s">
        <v>3</v>
      </c>
      <c r="J176" s="46">
        <f>SUM(J173:J175)</f>
        <v>764454.18508434494</v>
      </c>
      <c r="K176" s="3"/>
    </row>
    <row r="177" spans="1:11" ht="15.6" thickTop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20.399999999999999">
      <c r="A178" s="1" t="s">
        <v>56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.6">
      <c r="A181" s="37" t="s">
        <v>38</v>
      </c>
      <c r="B181" s="38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29" t="s">
        <v>34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29" t="s">
        <v>39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 t="s">
        <v>40</v>
      </c>
      <c r="B187" s="3"/>
      <c r="C187" s="3" t="s">
        <v>3</v>
      </c>
      <c r="D187" s="3" t="s">
        <v>41</v>
      </c>
      <c r="E187" s="3"/>
      <c r="F187" s="3"/>
      <c r="G187" s="3"/>
      <c r="H187" s="3"/>
      <c r="I187" s="3" t="s">
        <v>3</v>
      </c>
      <c r="J187" s="4">
        <f>G54</f>
        <v>84863.398602107118</v>
      </c>
      <c r="K187" s="3"/>
    </row>
    <row r="188" spans="1:11" ht="15">
      <c r="A188" s="3" t="s">
        <v>29</v>
      </c>
      <c r="B188" s="3"/>
      <c r="C188" s="3" t="s">
        <v>3</v>
      </c>
      <c r="D188" s="3" t="s">
        <v>44</v>
      </c>
      <c r="E188" s="3"/>
      <c r="F188" s="3"/>
      <c r="G188" s="3"/>
      <c r="H188" s="3"/>
      <c r="I188" s="3" t="s">
        <v>3</v>
      </c>
      <c r="J188" s="5">
        <f>800000*0.1</f>
        <v>80000</v>
      </c>
      <c r="K188" s="3"/>
    </row>
    <row r="189" spans="1:11" ht="15">
      <c r="A189" s="3" t="s">
        <v>27</v>
      </c>
      <c r="B189" s="3"/>
      <c r="C189" s="3"/>
      <c r="D189" s="3"/>
      <c r="E189" s="3"/>
      <c r="F189" s="3"/>
      <c r="G189" s="3"/>
      <c r="H189" s="3"/>
      <c r="I189" s="3" t="s">
        <v>3</v>
      </c>
      <c r="J189" s="4">
        <f>J187-J188</f>
        <v>4863.3986021071178</v>
      </c>
      <c r="K189" s="3"/>
    </row>
    <row r="190" spans="1:11" ht="15">
      <c r="A190" s="3" t="s">
        <v>42</v>
      </c>
      <c r="B190" s="3"/>
      <c r="C190" s="3" t="s">
        <v>3</v>
      </c>
      <c r="D190" s="3" t="s">
        <v>43</v>
      </c>
      <c r="E190" s="3"/>
      <c r="F190" s="3"/>
      <c r="G190" s="3"/>
      <c r="H190" s="3"/>
      <c r="I190" s="3" t="s">
        <v>3</v>
      </c>
      <c r="J190" s="5">
        <f>80000*0.68</f>
        <v>54400.000000000007</v>
      </c>
      <c r="K190" s="3"/>
    </row>
    <row r="191" spans="1:11" ht="15.6" thickBot="1">
      <c r="A191" s="3" t="s">
        <v>45</v>
      </c>
      <c r="B191" s="3"/>
      <c r="C191" s="3"/>
      <c r="D191" s="3"/>
      <c r="E191" s="3"/>
      <c r="F191" s="3"/>
      <c r="G191" s="3"/>
      <c r="H191" s="3"/>
      <c r="I191" s="3" t="s">
        <v>3</v>
      </c>
      <c r="J191" s="6">
        <f>SUM(J189:J190)</f>
        <v>59263.398602107125</v>
      </c>
      <c r="K191" s="3"/>
    </row>
    <row r="192" spans="1:11" ht="15.6" thickTop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29" t="s">
        <v>35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29" t="s">
        <v>39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 t="s">
        <v>27</v>
      </c>
      <c r="B197" s="3"/>
      <c r="C197" s="3" t="s">
        <v>3</v>
      </c>
      <c r="D197" s="3" t="s">
        <v>46</v>
      </c>
      <c r="E197" s="3"/>
      <c r="F197" s="3"/>
      <c r="G197" s="3"/>
      <c r="H197" s="3"/>
      <c r="I197" s="3" t="s">
        <v>3</v>
      </c>
      <c r="J197" s="4">
        <f>0.1*200000</f>
        <v>20000</v>
      </c>
      <c r="K197" s="3"/>
    </row>
    <row r="198" spans="1:11" ht="15">
      <c r="A198" s="3" t="s">
        <v>29</v>
      </c>
      <c r="B198" s="3"/>
      <c r="C198" s="3" t="s">
        <v>3</v>
      </c>
      <c r="D198" s="3" t="s">
        <v>47</v>
      </c>
      <c r="E198" s="3"/>
      <c r="F198" s="3" t="s">
        <v>3</v>
      </c>
      <c r="G198" s="31">
        <f>0.1*200000</f>
        <v>20000</v>
      </c>
      <c r="H198" s="3"/>
      <c r="I198" s="3"/>
      <c r="J198" s="4"/>
      <c r="K198" s="3"/>
    </row>
    <row r="199" spans="1:11" ht="15">
      <c r="A199" s="3" t="s">
        <v>42</v>
      </c>
      <c r="B199" s="3"/>
      <c r="C199" s="3" t="s">
        <v>3</v>
      </c>
      <c r="D199" s="3" t="s">
        <v>48</v>
      </c>
      <c r="E199" s="3"/>
      <c r="F199" s="3"/>
      <c r="G199" s="3"/>
      <c r="H199" s="3"/>
      <c r="I199" s="3" t="s">
        <v>3</v>
      </c>
      <c r="J199" s="5">
        <f>20000*0.68</f>
        <v>13600.000000000002</v>
      </c>
      <c r="K199" s="3"/>
    </row>
    <row r="200" spans="1:11" ht="15.6" thickBot="1">
      <c r="A200" s="3" t="s">
        <v>45</v>
      </c>
      <c r="B200" s="3"/>
      <c r="C200" s="3"/>
      <c r="D200" s="3"/>
      <c r="E200" s="3"/>
      <c r="F200" s="3"/>
      <c r="G200" s="3"/>
      <c r="H200" s="3"/>
      <c r="I200" s="3" t="s">
        <v>3</v>
      </c>
      <c r="J200" s="6">
        <f>SUM(J197:J199)</f>
        <v>33600</v>
      </c>
      <c r="K200" s="3"/>
    </row>
    <row r="201" spans="1:11" ht="15.6" thickTop="1">
      <c r="A201" s="3"/>
      <c r="B201" s="3"/>
      <c r="C201" s="3"/>
      <c r="D201" s="3"/>
      <c r="E201" s="3"/>
      <c r="F201" s="3"/>
      <c r="G201" s="3"/>
      <c r="H201" s="3"/>
      <c r="I201" s="3"/>
      <c r="J201" s="4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4"/>
      <c r="K202" s="3"/>
    </row>
    <row r="203" spans="1:11" ht="15.6">
      <c r="A203" s="3" t="s">
        <v>68</v>
      </c>
      <c r="B203" s="3"/>
      <c r="C203" s="3"/>
      <c r="D203" s="3"/>
      <c r="E203" s="3"/>
      <c r="F203" s="3"/>
      <c r="G203" s="3"/>
      <c r="H203" s="3"/>
      <c r="I203" s="3" t="s">
        <v>3</v>
      </c>
      <c r="J203" s="48">
        <f>J191+J200</f>
        <v>92863.398602107132</v>
      </c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  <rowBreaks count="1" manualBreakCount="1">
    <brk id="177" max="16383" man="1"/>
  </rowBreaks>
  <legacyDrawing r:id="rId2"/>
  <oleObjects>
    <oleObject progId="Equation.3" shapeId="1025" r:id="rId3"/>
    <oleObject progId="Equation.3" shapeId="1026" r:id="rId4"/>
    <oleObject progId="Equation.3" shapeId="1028" r:id="rId5"/>
    <oleObject progId="Equation.3" shapeId="1030" r:id="rId6"/>
    <oleObject progId="Equation.3" shapeId="1031" r:id="rId7"/>
    <oleObject progId="Equation.3" shapeId="1032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Fin opg 12</vt:lpstr>
      <vt:lpstr>Sheet2</vt:lpstr>
      <vt:lpstr>Sheet3</vt:lpstr>
      <vt:lpstr>'Fin opg 12'!Udskriftsområde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Christiansen; &amp; LYN</dc:creator>
  <cp:lastModifiedBy>Lynggaard</cp:lastModifiedBy>
  <cp:lastPrinted>2014-01-26T10:21:17Z</cp:lastPrinted>
  <dcterms:created xsi:type="dcterms:W3CDTF">2003-09-13T20:46:51Z</dcterms:created>
  <dcterms:modified xsi:type="dcterms:W3CDTF">2014-01-26T10:24:28Z</dcterms:modified>
</cp:coreProperties>
</file>