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Økonomisk Virksomhedsbeskrivelse\5. udgave\hjemmesiden\PowerPoints-opdatered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Z_31941114_936B_454F_8ACB_90C798E321E4_.wvu.Rows" localSheetId="0" hidden="1">Sheet1!$13:$13</definedName>
    <definedName name="Z_8E251959_A0A5_469D_92C0_F3BC99ED1CBF_.wvu.Rows" localSheetId="0" hidden="1">Sheet1!$13:$13</definedName>
    <definedName name="Z_F7CD260E_D22D_4EDE_B306_C3F2AD56A299_.wvu.Rows" localSheetId="0" hidden="1">Sheet1!$13:$13</definedName>
  </definedNames>
  <calcPr calcId="162913"/>
  <customWorkbookViews>
    <customWorkbookView name="Charlotte Flyger - Personal View" guid="{31941114-936B-454F-8ACB-90C798E321E4}" mergeInterval="0" personalView="1" maximized="1" xWindow="-8" yWindow="-8" windowWidth="1382" windowHeight="744" activeSheetId="1"/>
    <customWorkbookView name="bruger - Personal View" guid="{F7CD260E-D22D-4EDE-B306-C3F2AD56A299}" mergeInterval="0" personalView="1" maximized="1" windowWidth="1436" windowHeight="685" activeSheetId="1"/>
    <customWorkbookView name="Jesper - Privat visning" guid="{8E251959-A0A5-469D-92C0-F3BC99ED1CBF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L39" i="1"/>
  <c r="M39" i="1"/>
  <c r="J39" i="1"/>
  <c r="G55" i="1" l="1"/>
  <c r="G56" i="1" s="1"/>
  <c r="G52" i="1"/>
  <c r="G47" i="1"/>
  <c r="G38" i="1"/>
  <c r="G34" i="1"/>
  <c r="G10" i="1"/>
  <c r="G14" i="1" s="1"/>
  <c r="G17" i="1" s="1"/>
  <c r="G20" i="1" s="1"/>
  <c r="G23" i="1" s="1"/>
  <c r="G26" i="1" s="1"/>
  <c r="G39" i="1" l="1"/>
  <c r="G41" i="1" s="1"/>
  <c r="M46" i="1"/>
  <c r="G58" i="1"/>
  <c r="F55" i="1"/>
  <c r="E55" i="1"/>
  <c r="D55" i="1"/>
  <c r="C55" i="1"/>
  <c r="F47" i="1"/>
  <c r="E47" i="1"/>
  <c r="D47" i="1"/>
  <c r="C47" i="1"/>
  <c r="I39" i="1" l="1"/>
  <c r="K15" i="1"/>
  <c r="L15" i="1"/>
  <c r="M15" i="1"/>
  <c r="J15" i="1"/>
  <c r="K14" i="1"/>
  <c r="L14" i="1"/>
  <c r="M14" i="1"/>
  <c r="J14" i="1"/>
  <c r="I14" i="1"/>
  <c r="K19" i="1"/>
  <c r="L19" i="1"/>
  <c r="M19" i="1"/>
  <c r="J19" i="1"/>
  <c r="K34" i="1"/>
  <c r="L34" i="1"/>
  <c r="M34" i="1"/>
  <c r="K35" i="1"/>
  <c r="L35" i="1"/>
  <c r="M35" i="1"/>
  <c r="K36" i="1"/>
  <c r="L36" i="1"/>
  <c r="M36" i="1"/>
  <c r="J36" i="1"/>
  <c r="J35" i="1"/>
  <c r="J34" i="1"/>
  <c r="I36" i="1"/>
  <c r="I35" i="1"/>
  <c r="I34" i="1"/>
  <c r="K30" i="1"/>
  <c r="L30" i="1"/>
  <c r="M30" i="1"/>
  <c r="J30" i="1"/>
  <c r="I30" i="1"/>
  <c r="K25" i="1"/>
  <c r="L25" i="1"/>
  <c r="M25" i="1"/>
  <c r="K26" i="1"/>
  <c r="L26" i="1"/>
  <c r="M26" i="1"/>
  <c r="K27" i="1"/>
  <c r="L27" i="1"/>
  <c r="M27" i="1"/>
  <c r="J27" i="1"/>
  <c r="I27" i="1"/>
  <c r="J26" i="1"/>
  <c r="J25" i="1"/>
  <c r="I26" i="1"/>
  <c r="I25" i="1"/>
  <c r="K18" i="1"/>
  <c r="L18" i="1"/>
  <c r="L20" i="1" s="1"/>
  <c r="M18" i="1"/>
  <c r="J18" i="1"/>
  <c r="K12" i="1"/>
  <c r="L12" i="1"/>
  <c r="M12" i="1"/>
  <c r="M16" i="1" s="1"/>
  <c r="K13" i="1"/>
  <c r="L13" i="1"/>
  <c r="M13" i="1"/>
  <c r="J13" i="1"/>
  <c r="J12" i="1"/>
  <c r="I15" i="1"/>
  <c r="I13" i="1"/>
  <c r="I12" i="1"/>
  <c r="I9" i="1"/>
  <c r="M20" i="1" l="1"/>
  <c r="J16" i="1"/>
  <c r="K20" i="1"/>
  <c r="K16" i="1"/>
  <c r="J20" i="1"/>
  <c r="J28" i="1"/>
  <c r="J31" i="1" s="1"/>
  <c r="L16" i="1"/>
  <c r="M28" i="1"/>
  <c r="M31" i="1" s="1"/>
  <c r="J37" i="1"/>
  <c r="M37" i="1"/>
  <c r="L37" i="1"/>
  <c r="K37" i="1"/>
  <c r="L28" i="1"/>
  <c r="L31" i="1" s="1"/>
  <c r="K28" i="1"/>
  <c r="K31" i="1" s="1"/>
  <c r="C48" i="1"/>
  <c r="F38" i="1" l="1"/>
  <c r="E38" i="1"/>
  <c r="D38" i="1"/>
  <c r="C38" i="1"/>
  <c r="J43" i="1" s="1"/>
  <c r="J46" i="1" l="1"/>
  <c r="K43" i="1"/>
  <c r="K46" i="1"/>
  <c r="L43" i="1"/>
  <c r="L46" i="1"/>
  <c r="M43" i="1"/>
  <c r="E52" i="1"/>
  <c r="D34" i="1"/>
  <c r="D10" i="1"/>
  <c r="E10" i="1"/>
  <c r="F10" i="1"/>
  <c r="M9" i="1" l="1"/>
  <c r="M22" i="1" s="1"/>
  <c r="M41" i="1" s="1"/>
  <c r="E56" i="1"/>
  <c r="D56" i="1"/>
  <c r="D52" i="1"/>
  <c r="C52" i="1"/>
  <c r="E39" i="1"/>
  <c r="C39" i="1"/>
  <c r="F34" i="1"/>
  <c r="E34" i="1"/>
  <c r="C34" i="1"/>
  <c r="C10" i="1"/>
  <c r="M44" i="1" l="1"/>
  <c r="M47" i="1" s="1"/>
  <c r="C41" i="1"/>
  <c r="D58" i="1"/>
  <c r="E58" i="1"/>
  <c r="F56" i="1" l="1"/>
  <c r="C56" i="1"/>
  <c r="F52" i="1"/>
  <c r="D39" i="1"/>
  <c r="F39" i="1"/>
  <c r="D14" i="1" l="1"/>
  <c r="C58" i="1"/>
  <c r="F58" i="1"/>
  <c r="F14" i="1"/>
  <c r="L9" i="1" s="1"/>
  <c r="L22" i="1" s="1"/>
  <c r="E14" i="1"/>
  <c r="F41" i="1"/>
  <c r="E41" i="1"/>
  <c r="C14" i="1"/>
  <c r="D41" i="1"/>
  <c r="L41" i="1" l="1"/>
  <c r="L44" i="1" s="1"/>
  <c r="L47" i="1" s="1"/>
  <c r="E17" i="1"/>
  <c r="K9" i="1"/>
  <c r="K22" i="1" s="1"/>
  <c r="D17" i="1"/>
  <c r="D20" i="1" s="1"/>
  <c r="D23" i="1" s="1"/>
  <c r="D26" i="1" s="1"/>
  <c r="D46" i="1" s="1"/>
  <c r="J9" i="1"/>
  <c r="J22" i="1" s="1"/>
  <c r="C60" i="1"/>
  <c r="F17" i="1"/>
  <c r="C17" i="1"/>
  <c r="J41" i="1" l="1"/>
  <c r="J44" i="1" s="1"/>
  <c r="J47" i="1" s="1"/>
  <c r="K41" i="1"/>
  <c r="K44" i="1" s="1"/>
  <c r="K47" i="1" s="1"/>
  <c r="D48" i="1"/>
  <c r="D60" i="1" s="1"/>
  <c r="F20" i="1"/>
  <c r="C20" i="1"/>
  <c r="E20" i="1"/>
  <c r="C23" i="1" l="1"/>
  <c r="F23" i="1"/>
  <c r="F26" i="1" s="1"/>
  <c r="E23" i="1"/>
  <c r="E26" i="1" s="1"/>
  <c r="E46" i="1" s="1"/>
  <c r="F46" i="1" l="1"/>
  <c r="G46" i="1" s="1"/>
  <c r="G48" i="1" s="1"/>
  <c r="G60" i="1" s="1"/>
  <c r="G62" i="1" s="1"/>
  <c r="E48" i="1"/>
  <c r="C26" i="1"/>
  <c r="F48" i="1" l="1"/>
  <c r="E60" i="1" l="1"/>
  <c r="F60" i="1" l="1"/>
</calcChain>
</file>

<file path=xl/sharedStrings.xml><?xml version="1.0" encoding="utf-8"?>
<sst xmlns="http://schemas.openxmlformats.org/spreadsheetml/2006/main" count="66" uniqueCount="56">
  <si>
    <t xml:space="preserve">Resultatopgørelse </t>
  </si>
  <si>
    <t>Nettoomsætning</t>
  </si>
  <si>
    <t>Vareforbrug</t>
  </si>
  <si>
    <t>Indtjeningsbidrag</t>
  </si>
  <si>
    <t>Afskrivninger</t>
  </si>
  <si>
    <t>Skat</t>
  </si>
  <si>
    <t>Balance pr. 31.12.</t>
  </si>
  <si>
    <t>Aktiver</t>
  </si>
  <si>
    <t>Immaterielle anlægsaktiver inkl. goodwill</t>
  </si>
  <si>
    <t>Materielle anlægsaktiver</t>
  </si>
  <si>
    <t>Finansielle anlægsaktiver</t>
  </si>
  <si>
    <t>Anlægsaktiver i alt</t>
  </si>
  <si>
    <t>Likvide beholdninger</t>
  </si>
  <si>
    <t>Omsætningsaktiver i alt</t>
  </si>
  <si>
    <t>Passiver</t>
  </si>
  <si>
    <t>Aktiekapital</t>
  </si>
  <si>
    <t>Egenkapital i alt</t>
  </si>
  <si>
    <t>Gæld til realkreditinstitutter</t>
  </si>
  <si>
    <t>Anden langfristet gæld</t>
  </si>
  <si>
    <t>Langfristet gæld i alt</t>
  </si>
  <si>
    <t>Kortfristet gæld i alt</t>
  </si>
  <si>
    <t>Gæld i alt</t>
  </si>
  <si>
    <t>År 0</t>
  </si>
  <si>
    <t>År 1</t>
  </si>
  <si>
    <t>År 2</t>
  </si>
  <si>
    <t>År 3</t>
  </si>
  <si>
    <t>DDK i 1.000. kr.</t>
  </si>
  <si>
    <t>Primært resultat før finansielle poster</t>
  </si>
  <si>
    <t>Ordinært resultat efter finansielle poster</t>
  </si>
  <si>
    <t>Resultat efter skat</t>
  </si>
  <si>
    <t>Reserver</t>
  </si>
  <si>
    <t>Udbyttebetaling</t>
  </si>
  <si>
    <t>Overført til reserver</t>
  </si>
  <si>
    <t>Toft og Søn A/S</t>
  </si>
  <si>
    <t>Kontante kapacitetsomkostninger</t>
  </si>
  <si>
    <t>År 4</t>
  </si>
  <si>
    <t>Dækningsbidrag</t>
  </si>
  <si>
    <t>Varelager</t>
  </si>
  <si>
    <t>Varekreditorer</t>
  </si>
  <si>
    <t>Kassekredit</t>
  </si>
  <si>
    <t>Finansielle omkostninger</t>
  </si>
  <si>
    <t>Aktiver i alt</t>
  </si>
  <si>
    <t>Passiver i alt</t>
  </si>
  <si>
    <t>Varedebitorer</t>
  </si>
  <si>
    <t>Foreslået udbytte</t>
  </si>
  <si>
    <t>Ændringer i arbejdskapital:</t>
  </si>
  <si>
    <t>Renter</t>
  </si>
  <si>
    <t>Driftens likviditetsbidrag</t>
  </si>
  <si>
    <t>Investeringer, netto</t>
  </si>
  <si>
    <t>Finansiering:</t>
  </si>
  <si>
    <t>Finansiering, netto</t>
  </si>
  <si>
    <t>Netto ændring i likviditet</t>
  </si>
  <si>
    <t>Investeringer:</t>
  </si>
  <si>
    <t>Afstemning til regnskab (diff.)</t>
  </si>
  <si>
    <t>Likvide beholdninger ifølge regnskab, primo</t>
  </si>
  <si>
    <t>Likvide beholdninger ifølge regnskab, ultimo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</si>
</sst>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0_ ;_ * \-#,##0.0000_ ;_ * &quot;-&quot;??_ ;_ @_ "/>
    <numFmt numFmtId="166" formatCode="#,##0.0"/>
    <numFmt numFmtId="167" formatCode="#,##0_ ;\-#,##0\ "/>
    <numFmt numFmtId="168" formatCode="_ * #,##0.0_ ;_ * \-#,##0.0_ ;_ * &quot;-&quot;??_ ;_ @_ 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sz val="9"/>
      <name val="Palatino Linotype"/>
      <family val="1"/>
    </font>
    <font>
      <sz val="16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/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/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66" fontId="1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/>
    <xf numFmtId="3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3" fontId="1" fillId="0" borderId="1" xfId="0" applyNumberFormat="1" applyFont="1" applyBorder="1"/>
    <xf numFmtId="164" fontId="2" fillId="0" borderId="0" xfId="0" applyNumberFormat="1" applyFont="1"/>
    <xf numFmtId="167" fontId="1" fillId="0" borderId="0" xfId="0" applyNumberFormat="1" applyFont="1"/>
    <xf numFmtId="3" fontId="2" fillId="0" borderId="0" xfId="0" applyNumberFormat="1" applyFont="1"/>
    <xf numFmtId="167" fontId="1" fillId="0" borderId="0" xfId="0" applyNumberFormat="1" applyFont="1" applyAlignment="1"/>
    <xf numFmtId="167" fontId="1" fillId="0" borderId="1" xfId="0" applyNumberFormat="1" applyFont="1" applyBorder="1" applyAlignment="1"/>
    <xf numFmtId="3" fontId="1" fillId="0" borderId="3" xfId="0" applyNumberFormat="1" applyFont="1" applyBorder="1"/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5" fillId="0" borderId="0" xfId="0" applyNumberFormat="1" applyFont="1"/>
    <xf numFmtId="3" fontId="5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3" fontId="2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F1137D-1744-45F3-8404-0A26F33ADC55}" diskRevisions="1" revisionId="1610" version="2">
  <header guid="{2BF1137D-1744-45F3-8404-0A26F33ADC55}" dateTime="2019-09-05T13:39:38" maxSheetId="4" userName="Charlotte Flyger" r:id="rId63">
    <sheetIdMap count="3">
      <sheetId val="1"/>
      <sheetId val="2"/>
      <sheetId val="3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1941114-936B-454F-8ACB-90C798E321E4}" action="delete"/>
  <rdn rId="0" localSheetId="1" customView="1" name="Z_31941114_936B_454F_8ACB_90C798E321E4_.wvu.Rows" hidden="1" oldHidden="1">
    <formula>Sheet1!$13:$13</formula>
    <oldFormula>Sheet1!$13:$13</oldFormula>
  </rdn>
  <rcv guid="{31941114-936B-454F-8ACB-90C798E321E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2"/>
  <sheetViews>
    <sheetView tabSelected="1" zoomScaleNormal="100" zoomScaleSheetLayoutView="100" workbookViewId="0">
      <selection activeCell="M47" sqref="M47"/>
    </sheetView>
  </sheetViews>
  <sheetFormatPr defaultRowHeight="14.25" x14ac:dyDescent="0.3"/>
  <cols>
    <col min="1" max="1" width="5" style="1" customWidth="1"/>
    <col min="2" max="2" width="36.140625" style="1" customWidth="1"/>
    <col min="3" max="7" width="9.28515625" style="1" customWidth="1"/>
    <col min="8" max="8" width="8.7109375" style="1" customWidth="1"/>
    <col min="9" max="9" width="37.28515625" style="1" customWidth="1"/>
    <col min="10" max="10" width="10.140625" style="1" bestFit="1" customWidth="1"/>
    <col min="11" max="16384" width="9.140625" style="1"/>
  </cols>
  <sheetData>
    <row r="3" spans="2:13" ht="22.5" x14ac:dyDescent="0.4">
      <c r="B3" s="10" t="s">
        <v>33</v>
      </c>
    </row>
    <row r="4" spans="2:13" x14ac:dyDescent="0.3">
      <c r="B4" s="2"/>
    </row>
    <row r="5" spans="2:13" x14ac:dyDescent="0.3">
      <c r="B5" s="3" t="s">
        <v>26</v>
      </c>
      <c r="C5" s="4"/>
      <c r="D5" s="13"/>
      <c r="E5" s="13"/>
      <c r="F5" s="13"/>
      <c r="G5" s="13"/>
      <c r="H5" s="34"/>
    </row>
    <row r="6" spans="2:13" x14ac:dyDescent="0.3">
      <c r="B6" s="3"/>
      <c r="C6" s="4"/>
      <c r="D6" s="4"/>
      <c r="E6" s="4"/>
      <c r="F6" s="4"/>
    </row>
    <row r="7" spans="2:13" ht="17.25" x14ac:dyDescent="0.3">
      <c r="B7" s="30" t="s">
        <v>0</v>
      </c>
      <c r="C7" s="22" t="s">
        <v>22</v>
      </c>
      <c r="D7" s="22" t="s">
        <v>23</v>
      </c>
      <c r="E7" s="22" t="s">
        <v>24</v>
      </c>
      <c r="F7" s="22" t="s">
        <v>25</v>
      </c>
      <c r="G7" s="22" t="s">
        <v>35</v>
      </c>
      <c r="H7" s="22"/>
      <c r="J7" s="22" t="s">
        <v>23</v>
      </c>
      <c r="K7" s="22" t="s">
        <v>24</v>
      </c>
      <c r="L7" s="22" t="s">
        <v>25</v>
      </c>
      <c r="M7" s="22" t="s">
        <v>35</v>
      </c>
    </row>
    <row r="8" spans="2:13" x14ac:dyDescent="0.3">
      <c r="B8" s="3" t="s">
        <v>1</v>
      </c>
      <c r="C8" s="6">
        <v>10722</v>
      </c>
      <c r="D8" s="6">
        <v>11580</v>
      </c>
      <c r="E8" s="6">
        <v>11687</v>
      </c>
      <c r="F8" s="6">
        <v>13081</v>
      </c>
      <c r="G8" s="9">
        <v>13403</v>
      </c>
      <c r="H8" s="23"/>
    </row>
    <row r="9" spans="2:13" x14ac:dyDescent="0.3">
      <c r="B9" s="3" t="s">
        <v>2</v>
      </c>
      <c r="C9" s="26">
        <v>8000</v>
      </c>
      <c r="D9" s="26">
        <v>8777</v>
      </c>
      <c r="E9" s="26">
        <v>8870</v>
      </c>
      <c r="F9" s="26">
        <v>9953</v>
      </c>
      <c r="G9" s="35">
        <v>10087</v>
      </c>
      <c r="H9" s="23"/>
      <c r="I9" s="1" t="str">
        <f>+B14</f>
        <v>Indtjeningsbidrag</v>
      </c>
      <c r="J9" s="9">
        <f>+D14</f>
        <v>521</v>
      </c>
      <c r="K9" s="9">
        <f>+E14</f>
        <v>465</v>
      </c>
      <c r="L9" s="9">
        <f>+F14</f>
        <v>605</v>
      </c>
      <c r="M9" s="9">
        <f>+G14</f>
        <v>700</v>
      </c>
    </row>
    <row r="10" spans="2:13" x14ac:dyDescent="0.3">
      <c r="B10" s="3" t="s">
        <v>36</v>
      </c>
      <c r="C10" s="6">
        <f>C8-C9</f>
        <v>2722</v>
      </c>
      <c r="D10" s="6">
        <f>D8-D9</f>
        <v>2803</v>
      </c>
      <c r="E10" s="6">
        <f>E8-E9</f>
        <v>2817</v>
      </c>
      <c r="F10" s="6">
        <f>F8-F9</f>
        <v>3128</v>
      </c>
      <c r="G10" s="6">
        <f>G8-G9</f>
        <v>3316</v>
      </c>
      <c r="H10" s="23"/>
      <c r="I10" s="11"/>
      <c r="J10" s="11"/>
      <c r="K10" s="11"/>
      <c r="M10" s="9"/>
    </row>
    <row r="11" spans="2:13" x14ac:dyDescent="0.3">
      <c r="B11" s="21"/>
      <c r="C11" s="6"/>
      <c r="D11" s="6"/>
      <c r="E11" s="6"/>
      <c r="F11" s="6"/>
      <c r="G11" s="6"/>
      <c r="H11" s="23"/>
      <c r="I11" s="36" t="s">
        <v>45</v>
      </c>
      <c r="J11" s="11"/>
      <c r="K11" s="11"/>
      <c r="M11" s="9"/>
    </row>
    <row r="12" spans="2:13" ht="14.25" customHeight="1" x14ac:dyDescent="0.3">
      <c r="B12" s="51" t="s">
        <v>34</v>
      </c>
      <c r="C12" s="26">
        <v>1974</v>
      </c>
      <c r="D12" s="26">
        <v>2282</v>
      </c>
      <c r="E12" s="26">
        <v>2352</v>
      </c>
      <c r="F12" s="26">
        <v>2523</v>
      </c>
      <c r="G12" s="35">
        <v>2616</v>
      </c>
      <c r="H12" s="23"/>
      <c r="I12" s="1" t="str">
        <f>+B36</f>
        <v>Varelager</v>
      </c>
      <c r="J12" s="9">
        <f t="shared" ref="J12:M13" si="0">+C36-D36</f>
        <v>-877</v>
      </c>
      <c r="K12" s="9">
        <f t="shared" si="0"/>
        <v>-117</v>
      </c>
      <c r="L12" s="9">
        <f t="shared" si="0"/>
        <v>-204</v>
      </c>
      <c r="M12" s="9">
        <f t="shared" si="0"/>
        <v>409</v>
      </c>
    </row>
    <row r="13" spans="2:13" ht="15" hidden="1" customHeight="1" x14ac:dyDescent="0.3">
      <c r="B13" s="51"/>
      <c r="C13" s="6">
        <v>1974</v>
      </c>
      <c r="D13" s="6">
        <v>2310</v>
      </c>
      <c r="E13" s="4">
        <v>2695</v>
      </c>
      <c r="F13" s="6">
        <v>2717</v>
      </c>
      <c r="G13" s="9"/>
      <c r="H13" s="23"/>
      <c r="I13" s="1" t="str">
        <f>+B37</f>
        <v>Varedebitorer</v>
      </c>
      <c r="J13" s="9">
        <f t="shared" si="0"/>
        <v>-93</v>
      </c>
      <c r="K13" s="9">
        <f t="shared" si="0"/>
        <v>-291</v>
      </c>
      <c r="L13" s="9">
        <f t="shared" si="0"/>
        <v>-427</v>
      </c>
      <c r="M13" s="9">
        <f t="shared" si="0"/>
        <v>-768</v>
      </c>
    </row>
    <row r="14" spans="2:13" x14ac:dyDescent="0.3">
      <c r="B14" s="3" t="s">
        <v>3</v>
      </c>
      <c r="C14" s="6">
        <f>C10-C12</f>
        <v>748</v>
      </c>
      <c r="D14" s="6">
        <f>D10-D12</f>
        <v>521</v>
      </c>
      <c r="E14" s="6">
        <f t="shared" ref="E14:G14" si="1">E10-E12</f>
        <v>465</v>
      </c>
      <c r="F14" s="6">
        <f t="shared" si="1"/>
        <v>605</v>
      </c>
      <c r="G14" s="6">
        <f t="shared" si="1"/>
        <v>700</v>
      </c>
      <c r="H14" s="23"/>
      <c r="I14" s="1" t="str">
        <f>+B37</f>
        <v>Varedebitorer</v>
      </c>
      <c r="J14" s="9">
        <f>+C37-D37</f>
        <v>-93</v>
      </c>
      <c r="K14" s="9">
        <f>+D37-E37</f>
        <v>-291</v>
      </c>
      <c r="L14" s="9">
        <f>+E37-F37</f>
        <v>-427</v>
      </c>
      <c r="M14" s="9">
        <f>+F37-G37</f>
        <v>-768</v>
      </c>
    </row>
    <row r="15" spans="2:13" x14ac:dyDescent="0.3">
      <c r="B15" s="21"/>
      <c r="C15" s="6"/>
      <c r="D15" s="6"/>
      <c r="E15" s="6"/>
      <c r="F15" s="6"/>
      <c r="G15" s="6"/>
      <c r="H15" s="23"/>
      <c r="I15" s="1" t="str">
        <f>+B54</f>
        <v>Varekreditorer</v>
      </c>
      <c r="J15" s="35">
        <f>+D54-C54</f>
        <v>156</v>
      </c>
      <c r="K15" s="35">
        <f>+E54-D54</f>
        <v>54</v>
      </c>
      <c r="L15" s="35">
        <f>+F54-E54</f>
        <v>345</v>
      </c>
      <c r="M15" s="35">
        <f>+G54-F54</f>
        <v>103</v>
      </c>
    </row>
    <row r="16" spans="2:13" x14ac:dyDescent="0.3">
      <c r="B16" s="3" t="s">
        <v>4</v>
      </c>
      <c r="C16" s="27">
        <v>157</v>
      </c>
      <c r="D16" s="27">
        <v>312</v>
      </c>
      <c r="E16" s="27">
        <v>350</v>
      </c>
      <c r="F16" s="26">
        <v>338</v>
      </c>
      <c r="G16" s="35">
        <v>391</v>
      </c>
      <c r="H16" s="23"/>
      <c r="I16" s="14"/>
      <c r="J16" s="9">
        <f>+J12+J14+J15</f>
        <v>-814</v>
      </c>
      <c r="K16" s="9">
        <f t="shared" ref="K16:M16" si="2">+K12+K14+K15</f>
        <v>-354</v>
      </c>
      <c r="L16" s="9">
        <f t="shared" si="2"/>
        <v>-286</v>
      </c>
      <c r="M16" s="9">
        <f t="shared" si="2"/>
        <v>-256</v>
      </c>
    </row>
    <row r="17" spans="2:14" x14ac:dyDescent="0.3">
      <c r="B17" s="3" t="s">
        <v>27</v>
      </c>
      <c r="C17" s="6">
        <f>C14-C16</f>
        <v>591</v>
      </c>
      <c r="D17" s="6">
        <f>D14-D16</f>
        <v>209</v>
      </c>
      <c r="E17" s="6">
        <f>E14-E16</f>
        <v>115</v>
      </c>
      <c r="F17" s="6">
        <f t="shared" ref="F17:G17" si="3">F14-F16</f>
        <v>267</v>
      </c>
      <c r="G17" s="6">
        <f t="shared" si="3"/>
        <v>309</v>
      </c>
      <c r="H17" s="23"/>
      <c r="I17" s="11"/>
      <c r="J17" s="11"/>
      <c r="K17" s="11"/>
      <c r="M17" s="9"/>
    </row>
    <row r="18" spans="2:14" x14ac:dyDescent="0.3">
      <c r="B18" s="21"/>
      <c r="C18" s="6"/>
      <c r="D18" s="6"/>
      <c r="E18" s="6"/>
      <c r="F18" s="6"/>
      <c r="G18" s="6"/>
      <c r="H18" s="23"/>
      <c r="I18" s="11" t="s">
        <v>46</v>
      </c>
      <c r="J18" s="39">
        <f>-D19</f>
        <v>-70</v>
      </c>
      <c r="K18" s="39">
        <f>-E19</f>
        <v>-54</v>
      </c>
      <c r="L18" s="39">
        <f>-F19</f>
        <v>-45</v>
      </c>
      <c r="M18" s="49">
        <f>-G19</f>
        <v>-32</v>
      </c>
    </row>
    <row r="19" spans="2:14" x14ac:dyDescent="0.3">
      <c r="B19" s="3" t="s">
        <v>40</v>
      </c>
      <c r="C19" s="27">
        <v>77</v>
      </c>
      <c r="D19" s="27">
        <v>70</v>
      </c>
      <c r="E19" s="27">
        <v>54</v>
      </c>
      <c r="F19" s="26">
        <v>45</v>
      </c>
      <c r="G19" s="26">
        <v>32</v>
      </c>
      <c r="H19" s="23"/>
      <c r="I19" s="11" t="s">
        <v>5</v>
      </c>
      <c r="J19" s="40">
        <f>-D22</f>
        <v>-40</v>
      </c>
      <c r="K19" s="40">
        <f>-E22</f>
        <v>-23</v>
      </c>
      <c r="L19" s="40">
        <f>-F22</f>
        <v>-67</v>
      </c>
      <c r="M19" s="50">
        <f>-G22</f>
        <v>-79</v>
      </c>
    </row>
    <row r="20" spans="2:14" x14ac:dyDescent="0.3">
      <c r="B20" s="3" t="s">
        <v>28</v>
      </c>
      <c r="C20" s="6">
        <f>C17-C19</f>
        <v>514</v>
      </c>
      <c r="D20" s="6">
        <f>D17-D19</f>
        <v>139</v>
      </c>
      <c r="E20" s="6">
        <f>E17-E19</f>
        <v>61</v>
      </c>
      <c r="F20" s="6">
        <f>F17-F19</f>
        <v>222</v>
      </c>
      <c r="G20" s="6">
        <f>G17-G19</f>
        <v>277</v>
      </c>
      <c r="H20" s="23"/>
      <c r="J20" s="39">
        <f t="shared" ref="J20:M20" si="4">SUM(J18:J19)</f>
        <v>-110</v>
      </c>
      <c r="K20" s="39">
        <f t="shared" si="4"/>
        <v>-77</v>
      </c>
      <c r="L20" s="39">
        <f t="shared" si="4"/>
        <v>-112</v>
      </c>
      <c r="M20" s="49">
        <f t="shared" si="4"/>
        <v>-111</v>
      </c>
    </row>
    <row r="21" spans="2:14" x14ac:dyDescent="0.3">
      <c r="B21" s="21"/>
      <c r="C21" s="6"/>
      <c r="D21" s="6"/>
      <c r="E21" s="6"/>
      <c r="F21" s="6"/>
      <c r="G21" s="6"/>
      <c r="H21" s="23"/>
      <c r="M21" s="9"/>
    </row>
    <row r="22" spans="2:14" ht="17.25" x14ac:dyDescent="0.35">
      <c r="B22" s="3" t="s">
        <v>5</v>
      </c>
      <c r="C22" s="27">
        <v>157</v>
      </c>
      <c r="D22" s="27">
        <v>40</v>
      </c>
      <c r="E22" s="27">
        <v>23</v>
      </c>
      <c r="F22" s="26">
        <v>67</v>
      </c>
      <c r="G22" s="26">
        <v>79</v>
      </c>
      <c r="H22" s="23"/>
      <c r="I22" s="44" t="s">
        <v>47</v>
      </c>
      <c r="J22" s="37">
        <f>J9+J16+J20</f>
        <v>-403</v>
      </c>
      <c r="K22" s="37">
        <f t="shared" ref="K22:M22" si="5">K9+K16+K20</f>
        <v>34</v>
      </c>
      <c r="L22" s="37">
        <f t="shared" si="5"/>
        <v>207</v>
      </c>
      <c r="M22" s="9">
        <f t="shared" si="5"/>
        <v>333</v>
      </c>
    </row>
    <row r="23" spans="2:14" x14ac:dyDescent="0.3">
      <c r="B23" s="3" t="s">
        <v>29</v>
      </c>
      <c r="C23" s="31">
        <f>C20-C22</f>
        <v>357</v>
      </c>
      <c r="D23" s="31">
        <f>D20-D22</f>
        <v>99</v>
      </c>
      <c r="E23" s="31">
        <f>E20-E22</f>
        <v>38</v>
      </c>
      <c r="F23" s="31">
        <f>F20-F22</f>
        <v>155</v>
      </c>
      <c r="G23" s="31">
        <f>G20-G22</f>
        <v>198</v>
      </c>
      <c r="H23" s="23"/>
      <c r="M23" s="9"/>
    </row>
    <row r="24" spans="2:14" ht="17.25" x14ac:dyDescent="0.35">
      <c r="B24" s="8"/>
      <c r="C24" s="4"/>
      <c r="D24" s="4"/>
      <c r="E24" s="4"/>
      <c r="F24" s="6"/>
      <c r="G24" s="6"/>
      <c r="H24" s="23"/>
      <c r="I24" s="44" t="s">
        <v>52</v>
      </c>
      <c r="J24" s="11"/>
      <c r="K24" s="11"/>
      <c r="M24" s="9"/>
    </row>
    <row r="25" spans="2:14" x14ac:dyDescent="0.3">
      <c r="B25" s="8" t="s">
        <v>31</v>
      </c>
      <c r="C25" s="16">
        <v>261</v>
      </c>
      <c r="D25" s="16">
        <v>56</v>
      </c>
      <c r="E25" s="16">
        <v>28</v>
      </c>
      <c r="F25" s="16">
        <v>114</v>
      </c>
      <c r="G25" s="16">
        <v>119</v>
      </c>
      <c r="H25" s="24"/>
      <c r="I25" s="9" t="str">
        <f>+B31</f>
        <v>Immaterielle anlægsaktiver inkl. goodwill</v>
      </c>
      <c r="J25" s="9">
        <f t="shared" ref="J25:M26" si="6">+C31-D31</f>
        <v>-380</v>
      </c>
      <c r="K25" s="9">
        <f t="shared" si="6"/>
        <v>166</v>
      </c>
      <c r="L25" s="9">
        <f t="shared" si="6"/>
        <v>113</v>
      </c>
      <c r="M25" s="9">
        <f t="shared" si="6"/>
        <v>-160</v>
      </c>
      <c r="N25" s="9"/>
    </row>
    <row r="26" spans="2:14" x14ac:dyDescent="0.3">
      <c r="B26" s="8" t="s">
        <v>32</v>
      </c>
      <c r="C26" s="15">
        <f>+C23-C25</f>
        <v>96</v>
      </c>
      <c r="D26" s="15">
        <f t="shared" ref="D26:G26" si="7">+D23-D25</f>
        <v>43</v>
      </c>
      <c r="E26" s="15">
        <f t="shared" si="7"/>
        <v>10</v>
      </c>
      <c r="F26" s="15">
        <f t="shared" si="7"/>
        <v>41</v>
      </c>
      <c r="G26" s="15">
        <f t="shared" si="7"/>
        <v>79</v>
      </c>
      <c r="H26" s="24"/>
      <c r="I26" s="9" t="str">
        <f>+B32</f>
        <v>Materielle anlægsaktiver</v>
      </c>
      <c r="J26" s="9">
        <f t="shared" si="6"/>
        <v>-114</v>
      </c>
      <c r="K26" s="9">
        <f t="shared" si="6"/>
        <v>14</v>
      </c>
      <c r="L26" s="9">
        <f t="shared" si="6"/>
        <v>-4</v>
      </c>
      <c r="M26" s="9">
        <f t="shared" si="6"/>
        <v>-21</v>
      </c>
      <c r="N26" s="9"/>
    </row>
    <row r="27" spans="2:14" x14ac:dyDescent="0.3">
      <c r="B27" s="21"/>
      <c r="C27" s="15"/>
      <c r="D27" s="15"/>
      <c r="E27" s="15"/>
      <c r="F27" s="15"/>
      <c r="G27" s="15"/>
      <c r="H27" s="24"/>
      <c r="I27" s="9" t="str">
        <f>+B16</f>
        <v>Afskrivninger</v>
      </c>
      <c r="J27" s="35">
        <f>-D16</f>
        <v>-312</v>
      </c>
      <c r="K27" s="35">
        <f>-E16</f>
        <v>-350</v>
      </c>
      <c r="L27" s="35">
        <f>-F16</f>
        <v>-338</v>
      </c>
      <c r="M27" s="35">
        <f>-G16</f>
        <v>-391</v>
      </c>
      <c r="N27" s="9"/>
    </row>
    <row r="28" spans="2:14" x14ac:dyDescent="0.3">
      <c r="B28" s="3"/>
      <c r="C28" s="4"/>
      <c r="D28" s="4"/>
      <c r="E28" s="4"/>
      <c r="F28" s="6"/>
      <c r="G28" s="9"/>
      <c r="H28" s="23"/>
      <c r="J28" s="9">
        <f>SUM(J25:J27)</f>
        <v>-806</v>
      </c>
      <c r="K28" s="9">
        <f t="shared" ref="K28:M28" si="8">SUM(K25:K27)</f>
        <v>-170</v>
      </c>
      <c r="L28" s="9">
        <f t="shared" si="8"/>
        <v>-229</v>
      </c>
      <c r="M28" s="9">
        <f t="shared" si="8"/>
        <v>-572</v>
      </c>
      <c r="N28" s="9"/>
    </row>
    <row r="29" spans="2:14" ht="17.25" x14ac:dyDescent="0.3">
      <c r="B29" s="30" t="s">
        <v>6</v>
      </c>
      <c r="C29" s="22" t="s">
        <v>22</v>
      </c>
      <c r="D29" s="22" t="s">
        <v>23</v>
      </c>
      <c r="E29" s="22" t="s">
        <v>24</v>
      </c>
      <c r="F29" s="48" t="s">
        <v>25</v>
      </c>
      <c r="G29" s="48" t="s">
        <v>35</v>
      </c>
      <c r="H29" s="25"/>
      <c r="M29" s="9"/>
      <c r="N29" s="9"/>
    </row>
    <row r="30" spans="2:14" x14ac:dyDescent="0.3">
      <c r="B30" s="5" t="s">
        <v>7</v>
      </c>
      <c r="F30" s="9"/>
      <c r="G30" s="9"/>
      <c r="I30" s="1" t="str">
        <f>+B33</f>
        <v>Finansielle anlægsaktiver</v>
      </c>
      <c r="J30" s="35">
        <f>+C33-D33</f>
        <v>17</v>
      </c>
      <c r="K30" s="35">
        <f>+D33-E33</f>
        <v>0</v>
      </c>
      <c r="L30" s="35">
        <f>+E33-F33</f>
        <v>-2</v>
      </c>
      <c r="M30" s="35">
        <f>+F33-G33</f>
        <v>0</v>
      </c>
      <c r="N30" s="9"/>
    </row>
    <row r="31" spans="2:14" x14ac:dyDescent="0.3">
      <c r="B31" s="3" t="s">
        <v>8</v>
      </c>
      <c r="C31" s="4">
        <v>279</v>
      </c>
      <c r="D31" s="4">
        <v>659</v>
      </c>
      <c r="E31" s="4">
        <v>493</v>
      </c>
      <c r="F31" s="6">
        <v>380</v>
      </c>
      <c r="G31" s="9">
        <v>540</v>
      </c>
      <c r="H31" s="23"/>
      <c r="I31" s="38" t="s">
        <v>48</v>
      </c>
      <c r="J31" s="9">
        <f>+J28+J30</f>
        <v>-789</v>
      </c>
      <c r="K31" s="9">
        <f t="shared" ref="K31:M31" si="9">+K28+K30</f>
        <v>-170</v>
      </c>
      <c r="L31" s="9">
        <f t="shared" si="9"/>
        <v>-231</v>
      </c>
      <c r="M31" s="9">
        <f t="shared" si="9"/>
        <v>-572</v>
      </c>
      <c r="N31" s="9"/>
    </row>
    <row r="32" spans="2:14" x14ac:dyDescent="0.3">
      <c r="B32" s="3" t="s">
        <v>9</v>
      </c>
      <c r="C32" s="6">
        <v>2171</v>
      </c>
      <c r="D32" s="6">
        <v>2285</v>
      </c>
      <c r="E32" s="6">
        <v>2271</v>
      </c>
      <c r="F32" s="6">
        <v>2275</v>
      </c>
      <c r="G32" s="9">
        <v>2296</v>
      </c>
      <c r="H32" s="23"/>
      <c r="I32" s="9"/>
      <c r="J32" s="19"/>
      <c r="K32" s="19"/>
      <c r="L32" s="19"/>
      <c r="M32" s="19"/>
      <c r="N32" s="9"/>
    </row>
    <row r="33" spans="2:14" ht="17.25" x14ac:dyDescent="0.35">
      <c r="B33" s="3" t="s">
        <v>10</v>
      </c>
      <c r="C33" s="27">
        <v>27</v>
      </c>
      <c r="D33" s="27">
        <v>10</v>
      </c>
      <c r="E33" s="27">
        <v>10</v>
      </c>
      <c r="F33" s="26">
        <v>12</v>
      </c>
      <c r="G33" s="35">
        <v>12</v>
      </c>
      <c r="H33" s="23"/>
      <c r="I33" s="45" t="s">
        <v>49</v>
      </c>
      <c r="J33" s="9"/>
      <c r="K33" s="9"/>
      <c r="L33" s="9"/>
      <c r="M33" s="9"/>
      <c r="N33" s="9"/>
    </row>
    <row r="34" spans="2:14" x14ac:dyDescent="0.3">
      <c r="B34" s="3" t="s">
        <v>11</v>
      </c>
      <c r="C34" s="6">
        <f>SUM(C31:C33)</f>
        <v>2477</v>
      </c>
      <c r="D34" s="6">
        <f>SUM(D31:D33)</f>
        <v>2954</v>
      </c>
      <c r="E34" s="6">
        <f t="shared" ref="E34" si="10">SUM(E31:E33)</f>
        <v>2774</v>
      </c>
      <c r="F34" s="6">
        <f>SUM(F31:F33)</f>
        <v>2667</v>
      </c>
      <c r="G34" s="6">
        <f>SUM(G31:G33)</f>
        <v>2848</v>
      </c>
      <c r="H34" s="23"/>
      <c r="I34" s="9" t="str">
        <f>+B50</f>
        <v>Gæld til realkreditinstitutter</v>
      </c>
      <c r="J34" s="9">
        <f t="shared" ref="J34:M35" si="11">+D50-C50</f>
        <v>544</v>
      </c>
      <c r="K34" s="9">
        <f t="shared" si="11"/>
        <v>-313</v>
      </c>
      <c r="L34" s="9">
        <f t="shared" si="11"/>
        <v>-2</v>
      </c>
      <c r="M34" s="9">
        <f t="shared" si="11"/>
        <v>110</v>
      </c>
      <c r="N34" s="9"/>
    </row>
    <row r="35" spans="2:14" x14ac:dyDescent="0.3">
      <c r="B35" s="21"/>
      <c r="C35" s="6"/>
      <c r="D35" s="6"/>
      <c r="E35" s="6"/>
      <c r="F35" s="6"/>
      <c r="G35" s="6"/>
      <c r="H35" s="23"/>
      <c r="I35" s="9" t="str">
        <f>+B51</f>
        <v>Anden langfristet gæld</v>
      </c>
      <c r="J35" s="9">
        <f t="shared" si="11"/>
        <v>79</v>
      </c>
      <c r="K35" s="9">
        <f t="shared" si="11"/>
        <v>28</v>
      </c>
      <c r="L35" s="9">
        <f t="shared" si="11"/>
        <v>102</v>
      </c>
      <c r="M35" s="9">
        <f t="shared" si="11"/>
        <v>270</v>
      </c>
    </row>
    <row r="36" spans="2:14" x14ac:dyDescent="0.3">
      <c r="B36" s="18" t="s">
        <v>37</v>
      </c>
      <c r="C36" s="6">
        <v>1549</v>
      </c>
      <c r="D36" s="6">
        <v>2426</v>
      </c>
      <c r="E36" s="6">
        <v>2543</v>
      </c>
      <c r="F36" s="6">
        <v>2747</v>
      </c>
      <c r="G36" s="6">
        <v>2338</v>
      </c>
      <c r="H36" s="23"/>
      <c r="I36" s="9" t="str">
        <f>+B55</f>
        <v>Kassekredit</v>
      </c>
      <c r="J36" s="35">
        <f>+D55-C55</f>
        <v>859</v>
      </c>
      <c r="K36" s="35">
        <f>+E55-D55</f>
        <v>447</v>
      </c>
      <c r="L36" s="35">
        <f>+F55-E55</f>
        <v>2</v>
      </c>
      <c r="M36" s="35">
        <f>+G55-F55</f>
        <v>1</v>
      </c>
    </row>
    <row r="37" spans="2:14" x14ac:dyDescent="0.3">
      <c r="B37" s="18" t="s">
        <v>43</v>
      </c>
      <c r="C37" s="6">
        <v>1276</v>
      </c>
      <c r="D37" s="6">
        <v>1369</v>
      </c>
      <c r="E37" s="6">
        <v>1660</v>
      </c>
      <c r="F37" s="6">
        <v>2087</v>
      </c>
      <c r="G37" s="6">
        <v>2855</v>
      </c>
      <c r="H37" s="23"/>
      <c r="I37" s="42" t="s">
        <v>50</v>
      </c>
      <c r="J37" s="37">
        <f>SUM(J34:J36)</f>
        <v>1482</v>
      </c>
      <c r="K37" s="37">
        <f t="shared" ref="K37:M37" si="12">SUM(K34:K36)</f>
        <v>162</v>
      </c>
      <c r="L37" s="37">
        <f t="shared" si="12"/>
        <v>102</v>
      </c>
      <c r="M37" s="9">
        <f t="shared" si="12"/>
        <v>381</v>
      </c>
    </row>
    <row r="38" spans="2:14" x14ac:dyDescent="0.3">
      <c r="B38" s="3" t="s">
        <v>12</v>
      </c>
      <c r="C38" s="27">
        <f>88+179</f>
        <v>267</v>
      </c>
      <c r="D38" s="27">
        <f xml:space="preserve"> 83+213</f>
        <v>296</v>
      </c>
      <c r="E38" s="27">
        <f>94+172</f>
        <v>266</v>
      </c>
      <c r="F38" s="26">
        <f>113+203</f>
        <v>316</v>
      </c>
      <c r="G38" s="26">
        <f>137+206+1</f>
        <v>344</v>
      </c>
      <c r="H38" s="23"/>
      <c r="I38" s="20"/>
      <c r="J38" s="20"/>
      <c r="K38" s="20"/>
      <c r="M38" s="9"/>
    </row>
    <row r="39" spans="2:14" x14ac:dyDescent="0.3">
      <c r="B39" s="21" t="s">
        <v>13</v>
      </c>
      <c r="C39" s="6">
        <f>SUM(C36:C38)</f>
        <v>3092</v>
      </c>
      <c r="D39" s="6">
        <f>SUM(D36:D38)</f>
        <v>4091</v>
      </c>
      <c r="E39" s="6">
        <f>SUM(E36:E38)</f>
        <v>4469</v>
      </c>
      <c r="F39" s="6">
        <f>SUM(F36:F38)</f>
        <v>5150</v>
      </c>
      <c r="G39" s="6">
        <f>SUM(G36:G38)</f>
        <v>5537</v>
      </c>
      <c r="H39" s="23"/>
      <c r="I39" s="1" t="str">
        <f>+B25</f>
        <v>Udbyttebetaling</v>
      </c>
      <c r="J39" s="9">
        <f>-C25</f>
        <v>-261</v>
      </c>
      <c r="K39" s="9">
        <f t="shared" ref="K39:M39" si="13">-D25</f>
        <v>-56</v>
      </c>
      <c r="L39" s="9">
        <f t="shared" si="13"/>
        <v>-28</v>
      </c>
      <c r="M39" s="9">
        <f t="shared" si="13"/>
        <v>-114</v>
      </c>
    </row>
    <row r="40" spans="2:14" x14ac:dyDescent="0.3">
      <c r="B40" s="21"/>
      <c r="C40" s="26"/>
      <c r="D40" s="26"/>
      <c r="E40" s="26"/>
      <c r="F40" s="26"/>
      <c r="G40" s="26"/>
      <c r="H40" s="23"/>
      <c r="J40" s="28"/>
      <c r="K40" s="28"/>
      <c r="L40" s="28"/>
      <c r="M40" s="35"/>
    </row>
    <row r="41" spans="2:14" ht="15" thickBot="1" x14ac:dyDescent="0.35">
      <c r="B41" s="5" t="s">
        <v>41</v>
      </c>
      <c r="C41" s="32">
        <f>C34+C39</f>
        <v>5569</v>
      </c>
      <c r="D41" s="32">
        <f>D34+D39</f>
        <v>7045</v>
      </c>
      <c r="E41" s="32">
        <f>E34+E39</f>
        <v>7243</v>
      </c>
      <c r="F41" s="32">
        <f>F34+F39</f>
        <v>7817</v>
      </c>
      <c r="G41" s="32">
        <f>G34+G39</f>
        <v>8385</v>
      </c>
      <c r="H41" s="23"/>
      <c r="I41" s="43" t="s">
        <v>51</v>
      </c>
      <c r="J41" s="9">
        <f>+J22+J31+J37+J39</f>
        <v>29</v>
      </c>
      <c r="K41" s="9">
        <f t="shared" ref="K41:M41" si="14">+K22+K31+K37+K39</f>
        <v>-30</v>
      </c>
      <c r="L41" s="9">
        <f t="shared" si="14"/>
        <v>50</v>
      </c>
      <c r="M41" s="9">
        <f t="shared" si="14"/>
        <v>28</v>
      </c>
    </row>
    <row r="42" spans="2:14" ht="15" thickTop="1" x14ac:dyDescent="0.3">
      <c r="B42" s="5"/>
      <c r="C42" s="6"/>
      <c r="D42" s="6"/>
      <c r="E42" s="6"/>
      <c r="F42" s="6"/>
      <c r="G42" s="6"/>
      <c r="H42" s="23"/>
      <c r="M42" s="9"/>
    </row>
    <row r="43" spans="2:14" x14ac:dyDescent="0.3">
      <c r="B43" s="3"/>
      <c r="C43" s="4"/>
      <c r="D43" s="4"/>
      <c r="E43" s="4"/>
      <c r="F43" s="6"/>
      <c r="G43" s="6"/>
      <c r="H43" s="23"/>
      <c r="I43" s="1" t="s">
        <v>54</v>
      </c>
      <c r="J43" s="28">
        <f>+C38</f>
        <v>267</v>
      </c>
      <c r="K43" s="28">
        <f>+D38</f>
        <v>296</v>
      </c>
      <c r="L43" s="28">
        <f>+E38</f>
        <v>266</v>
      </c>
      <c r="M43" s="35">
        <f>+F38</f>
        <v>316</v>
      </c>
    </row>
    <row r="44" spans="2:14" x14ac:dyDescent="0.3">
      <c r="B44" s="5" t="s">
        <v>14</v>
      </c>
      <c r="C44" s="6"/>
      <c r="D44" s="6"/>
      <c r="E44" s="6"/>
      <c r="F44" s="6"/>
      <c r="G44" s="6"/>
      <c r="H44" s="23"/>
      <c r="J44" s="9">
        <f>+J41+J43</f>
        <v>296</v>
      </c>
      <c r="K44" s="9">
        <f t="shared" ref="K44:L44" si="15">+K41+K43</f>
        <v>266</v>
      </c>
      <c r="L44" s="9">
        <f t="shared" si="15"/>
        <v>316</v>
      </c>
      <c r="M44" s="9">
        <f>+M41+M43</f>
        <v>344</v>
      </c>
    </row>
    <row r="45" spans="2:14" x14ac:dyDescent="0.3">
      <c r="B45" s="3" t="s">
        <v>15</v>
      </c>
      <c r="C45" s="12">
        <v>450</v>
      </c>
      <c r="D45" s="12">
        <v>450</v>
      </c>
      <c r="E45" s="12">
        <v>450</v>
      </c>
      <c r="F45" s="15">
        <v>450</v>
      </c>
      <c r="G45" s="15">
        <v>450</v>
      </c>
      <c r="H45" s="23"/>
      <c r="M45" s="9"/>
    </row>
    <row r="46" spans="2:14" x14ac:dyDescent="0.3">
      <c r="B46" s="3" t="s">
        <v>30</v>
      </c>
      <c r="C46" s="6">
        <v>1855</v>
      </c>
      <c r="D46" s="6">
        <f>+C46+D26</f>
        <v>1898</v>
      </c>
      <c r="E46" s="6">
        <f t="shared" ref="E46:G46" si="16">+D46+E26</f>
        <v>1908</v>
      </c>
      <c r="F46" s="6">
        <f t="shared" si="16"/>
        <v>1949</v>
      </c>
      <c r="G46" s="6">
        <f t="shared" si="16"/>
        <v>2028</v>
      </c>
      <c r="H46" s="23"/>
      <c r="I46" s="1" t="s">
        <v>55</v>
      </c>
      <c r="J46" s="28">
        <f>+D38</f>
        <v>296</v>
      </c>
      <c r="K46" s="28">
        <f>+E38</f>
        <v>266</v>
      </c>
      <c r="L46" s="28">
        <f>+F38</f>
        <v>316</v>
      </c>
      <c r="M46" s="35">
        <f>+G38</f>
        <v>344</v>
      </c>
    </row>
    <row r="47" spans="2:14" ht="15" thickBot="1" x14ac:dyDescent="0.35">
      <c r="B47" s="21" t="s">
        <v>44</v>
      </c>
      <c r="C47" s="26">
        <f>C25</f>
        <v>261</v>
      </c>
      <c r="D47" s="26">
        <f t="shared" ref="D47:G47" si="17">D25</f>
        <v>56</v>
      </c>
      <c r="E47" s="26">
        <f t="shared" si="17"/>
        <v>28</v>
      </c>
      <c r="F47" s="26">
        <f t="shared" si="17"/>
        <v>114</v>
      </c>
      <c r="G47" s="26">
        <f t="shared" si="17"/>
        <v>119</v>
      </c>
      <c r="H47" s="23"/>
      <c r="I47" s="1" t="s">
        <v>53</v>
      </c>
      <c r="J47" s="41">
        <f>+J44-J46</f>
        <v>0</v>
      </c>
      <c r="K47" s="41">
        <f>+K44-K46</f>
        <v>0</v>
      </c>
      <c r="L47" s="41">
        <f>+L44-L46</f>
        <v>0</v>
      </c>
      <c r="M47" s="41">
        <f>+M44-M46</f>
        <v>0</v>
      </c>
    </row>
    <row r="48" spans="2:14" ht="15" thickTop="1" x14ac:dyDescent="0.3">
      <c r="B48" s="3" t="s">
        <v>16</v>
      </c>
      <c r="C48" s="6">
        <f>SUM(C45:C47)</f>
        <v>2566</v>
      </c>
      <c r="D48" s="6">
        <f t="shared" ref="D48:F48" si="18">SUM(D45:D47)</f>
        <v>2404</v>
      </c>
      <c r="E48" s="6">
        <f t="shared" si="18"/>
        <v>2386</v>
      </c>
      <c r="F48" s="6">
        <f t="shared" si="18"/>
        <v>2513</v>
      </c>
      <c r="G48" s="6">
        <f t="shared" ref="G48" si="19">SUM(G45:G47)</f>
        <v>2597</v>
      </c>
      <c r="H48" s="23"/>
      <c r="M48" s="47"/>
    </row>
    <row r="49" spans="2:13" x14ac:dyDescent="0.3">
      <c r="B49" s="21"/>
      <c r="C49" s="6"/>
      <c r="D49" s="6"/>
      <c r="E49" s="6"/>
      <c r="F49" s="6"/>
      <c r="G49" s="6"/>
      <c r="H49" s="23"/>
      <c r="M49" s="23"/>
    </row>
    <row r="50" spans="2:13" x14ac:dyDescent="0.3">
      <c r="B50" s="3" t="s">
        <v>17</v>
      </c>
      <c r="C50" s="15">
        <v>1252</v>
      </c>
      <c r="D50" s="15">
        <v>1796</v>
      </c>
      <c r="E50" s="15">
        <v>1483</v>
      </c>
      <c r="F50" s="15">
        <v>1481</v>
      </c>
      <c r="G50" s="15">
        <v>1591</v>
      </c>
      <c r="H50" s="24"/>
      <c r="I50" s="17"/>
      <c r="J50" s="17"/>
      <c r="K50" s="17"/>
    </row>
    <row r="51" spans="2:13" x14ac:dyDescent="0.3">
      <c r="B51" s="3" t="s">
        <v>18</v>
      </c>
      <c r="C51" s="28">
        <v>291</v>
      </c>
      <c r="D51" s="28">
        <v>370</v>
      </c>
      <c r="E51" s="28">
        <v>398</v>
      </c>
      <c r="F51" s="35">
        <v>500</v>
      </c>
      <c r="G51" s="35">
        <v>770</v>
      </c>
      <c r="H51" s="24"/>
    </row>
    <row r="52" spans="2:13" x14ac:dyDescent="0.3">
      <c r="B52" s="3" t="s">
        <v>19</v>
      </c>
      <c r="C52" s="15">
        <f>C50+C51</f>
        <v>1543</v>
      </c>
      <c r="D52" s="15">
        <f>D50+D51</f>
        <v>2166</v>
      </c>
      <c r="E52" s="15">
        <f>E50+E51</f>
        <v>1881</v>
      </c>
      <c r="F52" s="15">
        <f t="shared" ref="F52:G52" si="20">F50+F51</f>
        <v>1981</v>
      </c>
      <c r="G52" s="15">
        <f t="shared" si="20"/>
        <v>2361</v>
      </c>
      <c r="H52" s="24"/>
    </row>
    <row r="53" spans="2:13" x14ac:dyDescent="0.3">
      <c r="B53" s="21"/>
      <c r="C53" s="15"/>
      <c r="D53" s="15"/>
      <c r="E53" s="15"/>
      <c r="F53" s="15"/>
      <c r="G53" s="15"/>
      <c r="H53" s="24"/>
    </row>
    <row r="54" spans="2:13" x14ac:dyDescent="0.3">
      <c r="B54" s="18" t="s">
        <v>38</v>
      </c>
      <c r="C54" s="12">
        <v>335</v>
      </c>
      <c r="D54" s="12">
        <v>491</v>
      </c>
      <c r="E54" s="12">
        <v>545</v>
      </c>
      <c r="F54" s="15">
        <v>890</v>
      </c>
      <c r="G54" s="15">
        <v>993</v>
      </c>
      <c r="H54" s="24"/>
    </row>
    <row r="55" spans="2:13" x14ac:dyDescent="0.3">
      <c r="B55" s="18" t="s">
        <v>39</v>
      </c>
      <c r="C55" s="29">
        <f>1386-C25</f>
        <v>1125</v>
      </c>
      <c r="D55" s="29">
        <f>2040-D25</f>
        <v>1984</v>
      </c>
      <c r="E55" s="29">
        <f>2459-E25</f>
        <v>2431</v>
      </c>
      <c r="F55" s="29">
        <f>2547-F25</f>
        <v>2433</v>
      </c>
      <c r="G55" s="29">
        <f>2553-G25</f>
        <v>2434</v>
      </c>
      <c r="H55" s="24"/>
    </row>
    <row r="56" spans="2:13" x14ac:dyDescent="0.3">
      <c r="B56" s="3" t="s">
        <v>20</v>
      </c>
      <c r="C56" s="15">
        <f>C54+C55</f>
        <v>1460</v>
      </c>
      <c r="D56" s="15">
        <f>D54+D55</f>
        <v>2475</v>
      </c>
      <c r="E56" s="15">
        <f>E54+E55</f>
        <v>2976</v>
      </c>
      <c r="F56" s="15">
        <f t="shared" ref="F56:G56" si="21">F54+F55</f>
        <v>3323</v>
      </c>
      <c r="G56" s="15">
        <f t="shared" si="21"/>
        <v>3427</v>
      </c>
      <c r="H56" s="24"/>
    </row>
    <row r="57" spans="2:13" x14ac:dyDescent="0.3">
      <c r="B57" s="21"/>
      <c r="C57" s="29"/>
      <c r="D57" s="29"/>
      <c r="E57" s="29"/>
      <c r="F57" s="29"/>
      <c r="G57" s="29"/>
      <c r="H57" s="24"/>
    </row>
    <row r="58" spans="2:13" x14ac:dyDescent="0.3">
      <c r="B58" s="5" t="s">
        <v>21</v>
      </c>
      <c r="C58" s="15">
        <f>C52+C56</f>
        <v>3003</v>
      </c>
      <c r="D58" s="15">
        <f>D52+D56</f>
        <v>4641</v>
      </c>
      <c r="E58" s="15">
        <f>E52+E56</f>
        <v>4857</v>
      </c>
      <c r="F58" s="15">
        <f t="shared" ref="F58:G58" si="22">F52+F56</f>
        <v>5304</v>
      </c>
      <c r="G58" s="15">
        <f t="shared" si="22"/>
        <v>5788</v>
      </c>
      <c r="H58" s="24"/>
    </row>
    <row r="59" spans="2:13" x14ac:dyDescent="0.3">
      <c r="B59" s="5"/>
      <c r="C59" s="15"/>
      <c r="D59" s="15"/>
      <c r="E59" s="15"/>
      <c r="F59" s="15"/>
      <c r="G59" s="15"/>
      <c r="H59" s="7"/>
    </row>
    <row r="60" spans="2:13" ht="15" thickBot="1" x14ac:dyDescent="0.35">
      <c r="B60" s="5" t="s">
        <v>42</v>
      </c>
      <c r="C60" s="33">
        <f>+C48+C58</f>
        <v>5569</v>
      </c>
      <c r="D60" s="33">
        <f t="shared" ref="D60:G60" si="23">+D48+D58</f>
        <v>7045</v>
      </c>
      <c r="E60" s="33">
        <f t="shared" si="23"/>
        <v>7243</v>
      </c>
      <c r="F60" s="33">
        <f t="shared" si="23"/>
        <v>7817</v>
      </c>
      <c r="G60" s="33">
        <f t="shared" si="23"/>
        <v>8385</v>
      </c>
      <c r="H60" s="24"/>
    </row>
    <row r="61" spans="2:13" ht="15" thickTop="1" x14ac:dyDescent="0.3">
      <c r="B61" s="5"/>
      <c r="C61" s="15"/>
      <c r="D61" s="15"/>
      <c r="E61" s="15"/>
      <c r="F61" s="15"/>
      <c r="G61" s="15"/>
      <c r="H61" s="7"/>
    </row>
    <row r="62" spans="2:13" x14ac:dyDescent="0.3">
      <c r="B62" s="5"/>
      <c r="C62" s="15"/>
      <c r="D62" s="15"/>
      <c r="E62" s="15"/>
      <c r="F62" s="15"/>
      <c r="G62" s="46">
        <f>+G41-G60</f>
        <v>0</v>
      </c>
      <c r="H62" s="7"/>
    </row>
  </sheetData>
  <customSheetViews>
    <customSheetView guid="{31941114-936B-454F-8ACB-90C798E321E4}" hiddenRows="1">
      <selection activeCell="M47" sqref="M47"/>
      <rowBreaks count="1" manualBreakCount="1">
        <brk id="47" max="16383" man="1"/>
      </rowBreaks>
      <pageMargins left="0.7" right="0.7" top="0.75" bottom="0.75" header="0.3" footer="0.3"/>
      <pageSetup paperSize="9" orientation="portrait"/>
    </customSheetView>
    <customSheetView guid="{F7CD260E-D22D-4EDE-B306-C3F2AD56A299}" hiddenRows="1" topLeftCell="A20">
      <selection activeCell="R44" sqref="R44"/>
      <rowBreaks count="1" manualBreakCount="1">
        <brk id="47" max="16383" man="1"/>
      </rowBreaks>
      <pageMargins left="0.7" right="0.7" top="0.75" bottom="0.75" header="0.3" footer="0.3"/>
      <pageSetup paperSize="9" orientation="portrait" r:id="rId1"/>
    </customSheetView>
    <customSheetView guid="{8E251959-A0A5-469D-92C0-F3BC99ED1CBF}" showPageBreaks="1" hiddenRows="1" topLeftCell="A20">
      <selection activeCell="L52" sqref="L52"/>
      <rowBreaks count="1" manualBreakCount="1">
        <brk id="62" max="16383" man="1"/>
      </rowBreaks>
      <pageMargins left="0.7" right="0.7" top="0.75" bottom="0.75" header="0.3" footer="0.3"/>
      <pageSetup paperSize="9" orientation="landscape" r:id="rId2"/>
    </customSheetView>
  </customSheetViews>
  <mergeCells count="1">
    <mergeCell ref="B12:B13"/>
  </mergeCells>
  <pageMargins left="0.7" right="0.7" top="0.75" bottom="0.75" header="0.3" footer="0.3"/>
  <pageSetup paperSize="9" orientation="portrait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1941114-936B-454F-8ACB-90C798E321E4}">
      <pageMargins left="0.7" right="0.7" top="0.75" bottom="0.75" header="0.3" footer="0.3"/>
    </customSheetView>
    <customSheetView guid="{F7CD260E-D22D-4EDE-B306-C3F2AD56A299}">
      <pageMargins left="0.7" right="0.7" top="0.75" bottom="0.75" header="0.3" footer="0.3"/>
    </customSheetView>
    <customSheetView guid="{8E251959-A0A5-469D-92C0-F3BC99ED1CB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1941114-936B-454F-8ACB-90C798E321E4}">
      <pageMargins left="0.7" right="0.7" top="0.75" bottom="0.75" header="0.3" footer="0.3"/>
    </customSheetView>
    <customSheetView guid="{F7CD260E-D22D-4EDE-B306-C3F2AD56A299}">
      <pageMargins left="0.7" right="0.7" top="0.75" bottom="0.75" header="0.3" footer="0.3"/>
    </customSheetView>
    <customSheetView guid="{8E251959-A0A5-469D-92C0-F3BC99ED1CB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Charlotte Flyger</cp:lastModifiedBy>
  <cp:lastPrinted>2019-09-04T16:09:23Z</cp:lastPrinted>
  <dcterms:created xsi:type="dcterms:W3CDTF">2018-12-19T12:12:27Z</dcterms:created>
  <dcterms:modified xsi:type="dcterms:W3CDTF">2019-09-05T11:39:38Z</dcterms:modified>
</cp:coreProperties>
</file>