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012"/>
  </bookViews>
  <sheets>
    <sheet name="6. 3. 1 - 6. 3. 5 " sheetId="3" r:id="rId1"/>
    <sheet name="6. 3. 6. " sheetId="2" r:id="rId2"/>
    <sheet name="6. 4. " sheetId="4" r:id="rId3"/>
    <sheet name="6 .3..Nuværdimetoden" sheetId="1" r:id="rId4"/>
    <sheet name="Leasing" sheetId="5" r:id="rId5"/>
    <sheet name="Køb" sheetId="6" r:id="rId6"/>
  </sheets>
  <definedNames>
    <definedName name="solver_adj" localSheetId="4" hidden="1">Leasing!#REF!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Leasing!#REF!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100.075</definedName>
  </definedNames>
  <calcPr calcId="125725"/>
</workbook>
</file>

<file path=xl/calcChain.xml><?xml version="1.0" encoding="utf-8"?>
<calcChain xmlns="http://schemas.openxmlformats.org/spreadsheetml/2006/main">
  <c r="H51" i="2"/>
  <c r="E55" i="3"/>
  <c r="D32" i="5" l="1"/>
  <c r="D15"/>
  <c r="F86" i="2"/>
  <c r="F68"/>
  <c r="H32"/>
  <c r="E41" i="3"/>
  <c r="E28"/>
  <c r="E32"/>
  <c r="E31"/>
  <c r="E12" l="1"/>
  <c r="E14" s="1"/>
  <c r="E15" s="1"/>
  <c r="D8" i="4"/>
  <c r="D7"/>
  <c r="E60" i="5"/>
  <c r="B34" i="6"/>
  <c r="C11"/>
  <c r="C6"/>
  <c r="C5"/>
  <c r="D11" s="1"/>
  <c r="C3"/>
  <c r="B12" s="1"/>
  <c r="A13"/>
  <c r="A14" s="1"/>
  <c r="A15" s="1"/>
  <c r="A16" s="1"/>
  <c r="B38" s="1"/>
  <c r="E39" i="5"/>
  <c r="A40"/>
  <c r="A41" s="1"/>
  <c r="A42" s="1"/>
  <c r="A43" s="1"/>
  <c r="A44" s="1"/>
  <c r="A45" s="1"/>
  <c r="A46" s="1"/>
  <c r="A47" s="1"/>
  <c r="A48" s="1"/>
  <c r="A49" s="1"/>
  <c r="A50" s="1"/>
  <c r="A51" s="1"/>
  <c r="E51" s="1"/>
  <c r="F51" s="1"/>
  <c r="J44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D30"/>
  <c r="E24"/>
  <c r="D24"/>
  <c r="D23"/>
  <c r="D9"/>
  <c r="D11" s="1"/>
  <c r="G130" i="2"/>
  <c r="F130"/>
  <c r="E130"/>
  <c r="C129"/>
  <c r="E8"/>
  <c r="E46" i="3"/>
  <c r="E50" s="1"/>
  <c r="E59"/>
  <c r="D49" i="4"/>
  <c r="F49"/>
  <c r="E49"/>
  <c r="H49" s="1"/>
  <c r="D50" s="1"/>
  <c r="F50" s="1"/>
  <c r="G50" s="1"/>
  <c r="C48"/>
  <c r="J48"/>
  <c r="G35"/>
  <c r="G36" s="1"/>
  <c r="G37" s="1"/>
  <c r="G38" s="1"/>
  <c r="G39" s="1"/>
  <c r="D35"/>
  <c r="C34"/>
  <c r="I34"/>
  <c r="D21"/>
  <c r="E21" s="1"/>
  <c r="C20"/>
  <c r="I20" s="1"/>
  <c r="F110" i="2"/>
  <c r="D121" s="1"/>
  <c r="D108"/>
  <c r="C120" s="1"/>
  <c r="E120" s="1"/>
  <c r="F63"/>
  <c r="F44"/>
  <c r="F45" s="1"/>
  <c r="F46" s="1"/>
  <c r="F47" s="1"/>
  <c r="D44"/>
  <c r="E44" s="1"/>
  <c r="C43"/>
  <c r="H43" s="1"/>
  <c r="E30"/>
  <c r="B22"/>
  <c r="B23" s="1"/>
  <c r="B24" s="1"/>
  <c r="B25" s="1"/>
  <c r="B26" s="1"/>
  <c r="B27" s="1"/>
  <c r="B28" s="1"/>
  <c r="B29" s="1"/>
  <c r="B30" s="1"/>
  <c r="B21"/>
  <c r="D93" i="3"/>
  <c r="D91"/>
  <c r="D92"/>
  <c r="D90"/>
  <c r="C93"/>
  <c r="E93" s="1"/>
  <c r="C92"/>
  <c r="C91"/>
  <c r="C90"/>
  <c r="E90" s="1"/>
  <c r="E80"/>
  <c r="E77"/>
  <c r="D21" i="2"/>
  <c r="D22" s="1"/>
  <c r="F22" s="1"/>
  <c r="G22" s="1"/>
  <c r="H22" s="1"/>
  <c r="C20"/>
  <c r="H20" s="1"/>
  <c r="F63" i="1"/>
  <c r="C43"/>
  <c r="C23"/>
  <c r="E72"/>
  <c r="E73"/>
  <c r="E74"/>
  <c r="E75"/>
  <c r="E76"/>
  <c r="E77"/>
  <c r="E78"/>
  <c r="E79"/>
  <c r="E80"/>
  <c r="E81"/>
  <c r="E71"/>
  <c r="D72"/>
  <c r="D73"/>
  <c r="D74"/>
  <c r="D75"/>
  <c r="D76"/>
  <c r="D77"/>
  <c r="D78"/>
  <c r="D79"/>
  <c r="D80"/>
  <c r="D81"/>
  <c r="D71"/>
  <c r="C72"/>
  <c r="C73"/>
  <c r="C74"/>
  <c r="C75"/>
  <c r="C76"/>
  <c r="C77"/>
  <c r="C78"/>
  <c r="C79"/>
  <c r="C80"/>
  <c r="C81"/>
  <c r="C71"/>
  <c r="B72"/>
  <c r="B73" s="1"/>
  <c r="J57"/>
  <c r="J58"/>
  <c r="J59"/>
  <c r="J60"/>
  <c r="J61"/>
  <c r="J62"/>
  <c r="J56"/>
  <c r="J53"/>
  <c r="J54"/>
  <c r="J55"/>
  <c r="J52"/>
  <c r="I53"/>
  <c r="I54" s="1"/>
  <c r="G54"/>
  <c r="G55"/>
  <c r="G56"/>
  <c r="G57"/>
  <c r="G58"/>
  <c r="G59"/>
  <c r="G60"/>
  <c r="G61"/>
  <c r="G62"/>
  <c r="G53"/>
  <c r="G52"/>
  <c r="F54"/>
  <c r="F55"/>
  <c r="F56"/>
  <c r="F57"/>
  <c r="F58"/>
  <c r="F59"/>
  <c r="F60"/>
  <c r="F61"/>
  <c r="F62"/>
  <c r="F53"/>
  <c r="E54"/>
  <c r="E55"/>
  <c r="E56"/>
  <c r="E57"/>
  <c r="E58"/>
  <c r="E59"/>
  <c r="E60"/>
  <c r="E61"/>
  <c r="E62"/>
  <c r="E53"/>
  <c r="C54"/>
  <c r="C55" s="1"/>
  <c r="C56" s="1"/>
  <c r="C57" s="1"/>
  <c r="C58" s="1"/>
  <c r="C59" s="1"/>
  <c r="C60" s="1"/>
  <c r="C61" s="1"/>
  <c r="C62" s="1"/>
  <c r="C53"/>
  <c r="C52"/>
  <c r="B53"/>
  <c r="B54" s="1"/>
  <c r="B55" s="1"/>
  <c r="B56" s="1"/>
  <c r="B57" s="1"/>
  <c r="B58" s="1"/>
  <c r="B59" s="1"/>
  <c r="B60" s="1"/>
  <c r="B61" s="1"/>
  <c r="B62" s="1"/>
  <c r="E33"/>
  <c r="E34" s="1"/>
  <c r="B29"/>
  <c r="B48" s="1"/>
  <c r="B28"/>
  <c r="B47" s="1"/>
  <c r="B27"/>
  <c r="B46" s="1"/>
  <c r="B33"/>
  <c r="B34" s="1"/>
  <c r="B35" s="1"/>
  <c r="B36" s="1"/>
  <c r="B37" s="1"/>
  <c r="B38" s="1"/>
  <c r="B39" s="1"/>
  <c r="B40" s="1"/>
  <c r="B41" s="1"/>
  <c r="B42" s="1"/>
  <c r="C18"/>
  <c r="C20"/>
  <c r="C22"/>
  <c r="C12"/>
  <c r="B13"/>
  <c r="B14" s="1"/>
  <c r="B15" s="1"/>
  <c r="B16" s="1"/>
  <c r="B17" s="1"/>
  <c r="B18" s="1"/>
  <c r="B19" s="1"/>
  <c r="B20" s="1"/>
  <c r="B21" s="1"/>
  <c r="B22" s="1"/>
  <c r="B9"/>
  <c r="C15" s="1"/>
  <c r="E13"/>
  <c r="E14" s="1"/>
  <c r="E15" s="1"/>
  <c r="E16" s="1"/>
  <c r="E17" s="1"/>
  <c r="E18" s="1"/>
  <c r="E19" s="1"/>
  <c r="E20" s="1"/>
  <c r="E21" s="1"/>
  <c r="E22" s="1"/>
  <c r="E91" i="3" l="1"/>
  <c r="E50" i="5"/>
  <c r="F50" s="1"/>
  <c r="E48"/>
  <c r="F48" s="1"/>
  <c r="E46"/>
  <c r="F46" s="1"/>
  <c r="E44"/>
  <c r="F44" s="1"/>
  <c r="E42"/>
  <c r="F42" s="1"/>
  <c r="E40"/>
  <c r="F40" s="1"/>
  <c r="E49"/>
  <c r="F49" s="1"/>
  <c r="E47"/>
  <c r="F47" s="1"/>
  <c r="E45"/>
  <c r="F45" s="1"/>
  <c r="E43"/>
  <c r="F43" s="1"/>
  <c r="E41"/>
  <c r="F41" s="1"/>
  <c r="E20" i="6"/>
  <c r="B37"/>
  <c r="B35"/>
  <c r="B36"/>
  <c r="C33"/>
  <c r="E33" s="1"/>
  <c r="E14"/>
  <c r="C12"/>
  <c r="D12" s="1"/>
  <c r="C34" s="1"/>
  <c r="E15"/>
  <c r="E13"/>
  <c r="E12"/>
  <c r="E16"/>
  <c r="D12" i="5"/>
  <c r="D17" s="1"/>
  <c r="K43"/>
  <c r="D34"/>
  <c r="E50" i="4"/>
  <c r="D130" i="2"/>
  <c r="D129"/>
  <c r="D131"/>
  <c r="D122"/>
  <c r="G44"/>
  <c r="H44" s="1"/>
  <c r="F113"/>
  <c r="E129" s="1"/>
  <c r="D120"/>
  <c r="E92" i="3"/>
  <c r="F90"/>
  <c r="F102" s="1"/>
  <c r="F92"/>
  <c r="F104" s="1"/>
  <c r="F93"/>
  <c r="F105" s="1"/>
  <c r="F91"/>
  <c r="F103" s="1"/>
  <c r="G49" i="4"/>
  <c r="I49" s="1"/>
  <c r="J49" s="1"/>
  <c r="D36"/>
  <c r="D37" s="1"/>
  <c r="E36"/>
  <c r="F36" s="1"/>
  <c r="H36" s="1"/>
  <c r="I36" s="1"/>
  <c r="E35"/>
  <c r="F35" s="1"/>
  <c r="H35" s="1"/>
  <c r="I35" s="1"/>
  <c r="F21"/>
  <c r="H21" s="1"/>
  <c r="I21" s="1"/>
  <c r="D22"/>
  <c r="F120" i="2"/>
  <c r="D45"/>
  <c r="D23"/>
  <c r="F23" s="1"/>
  <c r="G23" s="1"/>
  <c r="H23" s="1"/>
  <c r="F21"/>
  <c r="G21" s="1"/>
  <c r="H21" s="1"/>
  <c r="B74" i="1"/>
  <c r="I55"/>
  <c r="B49"/>
  <c r="C16"/>
  <c r="C14"/>
  <c r="C32"/>
  <c r="C33"/>
  <c r="C40"/>
  <c r="C38"/>
  <c r="C36"/>
  <c r="C34"/>
  <c r="C13"/>
  <c r="C21"/>
  <c r="C19"/>
  <c r="C17"/>
  <c r="F21"/>
  <c r="F17"/>
  <c r="F13"/>
  <c r="C41"/>
  <c r="C42" s="1"/>
  <c r="C39"/>
  <c r="C37"/>
  <c r="C35"/>
  <c r="E35"/>
  <c r="F12" i="6" l="1"/>
  <c r="B13"/>
  <c r="K44" i="5"/>
  <c r="B39"/>
  <c r="M43"/>
  <c r="E58"/>
  <c r="L55"/>
  <c r="H50" i="4"/>
  <c r="E51"/>
  <c r="F129" i="2"/>
  <c r="G120"/>
  <c r="C121" s="1"/>
  <c r="D38" i="4"/>
  <c r="E37"/>
  <c r="F37" s="1"/>
  <c r="H37" s="1"/>
  <c r="I37" s="1"/>
  <c r="E22"/>
  <c r="D23"/>
  <c r="E45" i="2"/>
  <c r="G45" s="1"/>
  <c r="H45" s="1"/>
  <c r="D46"/>
  <c r="D24"/>
  <c r="B75" i="1"/>
  <c r="I56"/>
  <c r="F12"/>
  <c r="F16"/>
  <c r="F20"/>
  <c r="F22"/>
  <c r="F33"/>
  <c r="F32"/>
  <c r="D55"/>
  <c r="D57"/>
  <c r="D59"/>
  <c r="D61"/>
  <c r="D53"/>
  <c r="D54"/>
  <c r="D56"/>
  <c r="D58"/>
  <c r="D60"/>
  <c r="D62"/>
  <c r="F35"/>
  <c r="F15"/>
  <c r="F19"/>
  <c r="F14"/>
  <c r="F18"/>
  <c r="F34"/>
  <c r="E36"/>
  <c r="F36" s="1"/>
  <c r="C13" i="6" l="1"/>
  <c r="D13" s="1"/>
  <c r="C51" i="5"/>
  <c r="L67"/>
  <c r="L79" s="1"/>
  <c r="L91" s="1"/>
  <c r="L103" s="1"/>
  <c r="M103" s="1"/>
  <c r="M44"/>
  <c r="K45"/>
  <c r="B40"/>
  <c r="E57"/>
  <c r="E59" s="1"/>
  <c r="E61" s="1"/>
  <c r="D39"/>
  <c r="I50" i="4"/>
  <c r="J50" s="1"/>
  <c r="D51"/>
  <c r="E52"/>
  <c r="E53" s="1"/>
  <c r="G129" i="2"/>
  <c r="C130" s="1"/>
  <c r="E121"/>
  <c r="D39" i="4"/>
  <c r="E38"/>
  <c r="F38" s="1"/>
  <c r="H38" s="1"/>
  <c r="I38" s="1"/>
  <c r="F22"/>
  <c r="H22" s="1"/>
  <c r="I22" s="1"/>
  <c r="D24"/>
  <c r="E23"/>
  <c r="D47" i="2"/>
  <c r="E46"/>
  <c r="G46" s="1"/>
  <c r="H46" s="1"/>
  <c r="F24"/>
  <c r="G24" s="1"/>
  <c r="H24" s="1"/>
  <c r="D25"/>
  <c r="B76" i="1"/>
  <c r="I57"/>
  <c r="E37"/>
  <c r="F37" s="1"/>
  <c r="D36" i="6" l="1"/>
  <c r="D38"/>
  <c r="D35"/>
  <c r="D37"/>
  <c r="D34"/>
  <c r="E34" s="1"/>
  <c r="F13"/>
  <c r="C35"/>
  <c r="E35" s="1"/>
  <c r="B14"/>
  <c r="F39" i="5"/>
  <c r="F52" s="1"/>
  <c r="F54" s="1"/>
  <c r="E25" i="6" s="1"/>
  <c r="D40" i="5"/>
  <c r="B41"/>
  <c r="K46"/>
  <c r="M45"/>
  <c r="F51" i="4"/>
  <c r="F121" i="2"/>
  <c r="E39" i="4"/>
  <c r="F39" s="1"/>
  <c r="F23"/>
  <c r="H23" s="1"/>
  <c r="I23" s="1"/>
  <c r="D25"/>
  <c r="E24"/>
  <c r="D48" i="2"/>
  <c r="E47"/>
  <c r="G47" s="1"/>
  <c r="H47" s="1"/>
  <c r="D26"/>
  <c r="F25"/>
  <c r="G25" s="1"/>
  <c r="H25" s="1"/>
  <c r="B77" i="1"/>
  <c r="I58"/>
  <c r="E38"/>
  <c r="F38" s="1"/>
  <c r="C14" i="6" l="1"/>
  <c r="D14" s="1"/>
  <c r="B42" i="5"/>
  <c r="D41"/>
  <c r="K47"/>
  <c r="M46"/>
  <c r="G51" i="4"/>
  <c r="I51" s="1"/>
  <c r="J51" s="1"/>
  <c r="H51"/>
  <c r="D52" s="1"/>
  <c r="G121" i="2"/>
  <c r="C122" s="1"/>
  <c r="H39" i="4"/>
  <c r="I39" s="1"/>
  <c r="I41" s="1"/>
  <c r="E25"/>
  <c r="G25"/>
  <c r="F24"/>
  <c r="H24" s="1"/>
  <c r="I24" s="1"/>
  <c r="D27" i="2"/>
  <c r="F26"/>
  <c r="G26" s="1"/>
  <c r="H26" s="1"/>
  <c r="B78" i="1"/>
  <c r="I59"/>
  <c r="E39"/>
  <c r="F39" s="1"/>
  <c r="F14" i="6" l="1"/>
  <c r="C36"/>
  <c r="E36" s="1"/>
  <c r="B15"/>
  <c r="K48" i="5"/>
  <c r="M47"/>
  <c r="D42"/>
  <c r="B43"/>
  <c r="F52" i="4"/>
  <c r="C131" i="2"/>
  <c r="E122"/>
  <c r="F25" i="4"/>
  <c r="H25" s="1"/>
  <c r="I25" s="1"/>
  <c r="I27" s="1"/>
  <c r="D28" i="2"/>
  <c r="F27"/>
  <c r="G27" s="1"/>
  <c r="H27" s="1"/>
  <c r="B79" i="1"/>
  <c r="I60"/>
  <c r="E40"/>
  <c r="F40" s="1"/>
  <c r="C15" i="6" l="1"/>
  <c r="D15" s="1"/>
  <c r="K49" i="5"/>
  <c r="M48"/>
  <c r="B44"/>
  <c r="D43"/>
  <c r="G52" i="4"/>
  <c r="H52"/>
  <c r="D53" s="1"/>
  <c r="F53" s="1"/>
  <c r="E131" i="2"/>
  <c r="F131" s="1"/>
  <c r="G131"/>
  <c r="F122"/>
  <c r="E123"/>
  <c r="D29"/>
  <c r="F28"/>
  <c r="G28" s="1"/>
  <c r="H28" s="1"/>
  <c r="B80" i="1"/>
  <c r="I61"/>
  <c r="E41"/>
  <c r="F41" s="1"/>
  <c r="F15" i="6" l="1"/>
  <c r="C37"/>
  <c r="E37" s="1"/>
  <c r="B16"/>
  <c r="C16" s="1"/>
  <c r="D16" s="1"/>
  <c r="K50" i="5"/>
  <c r="M49"/>
  <c r="D44"/>
  <c r="B45"/>
  <c r="I52" i="4"/>
  <c r="J52" s="1"/>
  <c r="G53"/>
  <c r="I53" s="1"/>
  <c r="J53" s="1"/>
  <c r="I55" s="1"/>
  <c r="H53"/>
  <c r="E132" i="2"/>
  <c r="F123"/>
  <c r="G122"/>
  <c r="D30"/>
  <c r="F30" s="1"/>
  <c r="G30" s="1"/>
  <c r="H30" s="1"/>
  <c r="F29"/>
  <c r="G29" s="1"/>
  <c r="H29" s="1"/>
  <c r="B81" i="1"/>
  <c r="I62"/>
  <c r="E42"/>
  <c r="F42" s="1"/>
  <c r="F16" i="6" l="1"/>
  <c r="F17" s="1"/>
  <c r="E22" s="1"/>
  <c r="E23" s="1"/>
  <c r="C38"/>
  <c r="E38" s="1"/>
  <c r="E39" s="1"/>
  <c r="K51" i="5"/>
  <c r="M50"/>
  <c r="D45"/>
  <c r="B46"/>
  <c r="F132" i="2"/>
  <c r="K52" i="5" l="1"/>
  <c r="M51"/>
  <c r="B47"/>
  <c r="D46"/>
  <c r="B48" l="1"/>
  <c r="D47"/>
  <c r="K53"/>
  <c r="M52"/>
  <c r="D51"/>
  <c r="K54" l="1"/>
  <c r="M53"/>
  <c r="B49"/>
  <c r="D48"/>
  <c r="D49" l="1"/>
  <c r="B50"/>
  <c r="D50" s="1"/>
  <c r="K55"/>
  <c r="M54"/>
  <c r="K56" l="1"/>
  <c r="M55"/>
  <c r="K57" l="1"/>
  <c r="M56"/>
  <c r="K58" l="1"/>
  <c r="M57"/>
  <c r="K59" l="1"/>
  <c r="M58"/>
  <c r="K60" l="1"/>
  <c r="M59"/>
  <c r="K61" l="1"/>
  <c r="M60"/>
  <c r="K62" l="1"/>
  <c r="M61"/>
  <c r="K63" l="1"/>
  <c r="M62"/>
  <c r="K64" l="1"/>
  <c r="M63"/>
  <c r="K65" l="1"/>
  <c r="M64"/>
  <c r="K66" l="1"/>
  <c r="M65"/>
  <c r="K67" l="1"/>
  <c r="M66"/>
  <c r="K68" l="1"/>
  <c r="M67"/>
  <c r="K69" l="1"/>
  <c r="M68"/>
  <c r="K70" l="1"/>
  <c r="M69"/>
  <c r="K71" l="1"/>
  <c r="M70"/>
  <c r="K72" l="1"/>
  <c r="M71"/>
  <c r="K73" l="1"/>
  <c r="M72"/>
  <c r="K74" l="1"/>
  <c r="M73"/>
  <c r="K75" l="1"/>
  <c r="M74"/>
  <c r="K76" l="1"/>
  <c r="M75"/>
  <c r="K77" l="1"/>
  <c r="M76"/>
  <c r="K78" l="1"/>
  <c r="M77"/>
  <c r="K79" l="1"/>
  <c r="M78"/>
  <c r="K80" l="1"/>
  <c r="M79"/>
  <c r="K81" l="1"/>
  <c r="M80"/>
  <c r="K82" l="1"/>
  <c r="M81"/>
  <c r="K83" l="1"/>
  <c r="M82"/>
  <c r="K84" l="1"/>
  <c r="M83"/>
  <c r="K85" l="1"/>
  <c r="M84"/>
  <c r="K86" l="1"/>
  <c r="M85"/>
  <c r="K87" l="1"/>
  <c r="M86"/>
  <c r="K88" l="1"/>
  <c r="M87"/>
  <c r="K89" l="1"/>
  <c r="M88"/>
  <c r="K90" l="1"/>
  <c r="M89"/>
  <c r="K91" l="1"/>
  <c r="M90"/>
  <c r="K92" l="1"/>
  <c r="M91"/>
  <c r="K93" l="1"/>
  <c r="M92"/>
  <c r="K94" l="1"/>
  <c r="M93"/>
  <c r="K95" l="1"/>
  <c r="M94"/>
  <c r="K96" l="1"/>
  <c r="M95"/>
  <c r="K97" l="1"/>
  <c r="M96"/>
  <c r="K98" l="1"/>
  <c r="M97"/>
  <c r="K99" l="1"/>
  <c r="M98"/>
  <c r="K100" l="1"/>
  <c r="M99"/>
  <c r="K101" l="1"/>
  <c r="M100"/>
  <c r="K102" l="1"/>
  <c r="M102" s="1"/>
  <c r="M101"/>
  <c r="M105" l="1"/>
</calcChain>
</file>

<file path=xl/sharedStrings.xml><?xml version="1.0" encoding="utf-8"?>
<sst xmlns="http://schemas.openxmlformats.org/spreadsheetml/2006/main" count="393" uniqueCount="211">
  <si>
    <t>1. Annuitetslån</t>
  </si>
  <si>
    <t>Rente</t>
  </si>
  <si>
    <t>Lån</t>
  </si>
  <si>
    <t>År</t>
  </si>
  <si>
    <t>Nuværdi</t>
  </si>
  <si>
    <t>Ydelse</t>
  </si>
  <si>
    <t>Betaling</t>
  </si>
  <si>
    <t>2.  Stående lån</t>
  </si>
  <si>
    <t>Afdrag</t>
  </si>
  <si>
    <t>Ultimosaldo</t>
  </si>
  <si>
    <t>Cash flow</t>
  </si>
  <si>
    <t>3.  Serie lån</t>
  </si>
  <si>
    <t>Annuitet</t>
  </si>
  <si>
    <t>Stående</t>
  </si>
  <si>
    <t>Serie</t>
  </si>
  <si>
    <t>4.  Samlet oversigt</t>
  </si>
  <si>
    <t xml:space="preserve">            Sum af ydelser</t>
  </si>
  <si>
    <t>Hovedstol</t>
  </si>
  <si>
    <t>Optagelseskurs</t>
  </si>
  <si>
    <t>Løbetid</t>
  </si>
  <si>
    <t>kr.</t>
  </si>
  <si>
    <t>år</t>
  </si>
  <si>
    <t>p.a.</t>
  </si>
  <si>
    <t>Provenue</t>
  </si>
  <si>
    <t>Gæld primo</t>
  </si>
  <si>
    <t>Antal terminer</t>
  </si>
  <si>
    <t>pr. år</t>
  </si>
  <si>
    <t>Beløb efter 4 terminer</t>
  </si>
  <si>
    <t>pr. termin</t>
  </si>
  <si>
    <t>Effektiv rente</t>
  </si>
  <si>
    <t>Rentetilskrivning</t>
  </si>
  <si>
    <t>pr. krone</t>
  </si>
  <si>
    <t xml:space="preserve">3.2. Simpel og sammensat rentesregning.  </t>
  </si>
  <si>
    <t>3.3. Leverandørkredit.</t>
  </si>
  <si>
    <t>Beløb nu</t>
  </si>
  <si>
    <t>Periode</t>
  </si>
  <si>
    <t>dage</t>
  </si>
  <si>
    <t>Et år</t>
  </si>
  <si>
    <t>Betalingsrække</t>
  </si>
  <si>
    <t>Afkastet</t>
  </si>
  <si>
    <t>3.4. Afbetalingskøb</t>
  </si>
  <si>
    <t>Afbetalingsbeløb</t>
  </si>
  <si>
    <t>månedlig</t>
  </si>
  <si>
    <t>måneder</t>
  </si>
  <si>
    <t>Ydelse, PMT</t>
  </si>
  <si>
    <t>Effektiv rente, R, IRR</t>
  </si>
  <si>
    <t>Antal måneder i et år</t>
  </si>
  <si>
    <t>Effektiv helårsrente</t>
  </si>
  <si>
    <t>Lånt beløb</t>
  </si>
  <si>
    <t>Kassekreditrente</t>
  </si>
  <si>
    <t>pr. kvartal</t>
  </si>
  <si>
    <t>Provision</t>
  </si>
  <si>
    <t xml:space="preserve">Antal kvartaler </t>
  </si>
  <si>
    <t>A.  Udnyttelsesgrad:   0,6</t>
  </si>
  <si>
    <t>B.  Udnyttelsesgrad:   1,0</t>
  </si>
  <si>
    <t>Effektiv rente ved u  =  0,6</t>
  </si>
  <si>
    <t>Effektiv rente ved u  =  1,0</t>
  </si>
  <si>
    <t>u</t>
  </si>
  <si>
    <t>r</t>
  </si>
  <si>
    <t>p</t>
  </si>
  <si>
    <t>R  pr. år</t>
  </si>
  <si>
    <t>R pr. kvartal</t>
  </si>
  <si>
    <t>r +  p</t>
  </si>
  <si>
    <t>Effektiv rente pr. år</t>
  </si>
  <si>
    <t>Effektiv rente (Intern afkast, IA)</t>
  </si>
  <si>
    <t>1. Beregnet ydelse ud fra grundformel</t>
  </si>
  <si>
    <t>2. Beregning af ydelsen ved hjælp af Excel- funktionen ydelse</t>
  </si>
  <si>
    <t xml:space="preserve">Rente </t>
  </si>
  <si>
    <t>Kursværdi</t>
  </si>
  <si>
    <t>3. Beregning af intern rente.</t>
  </si>
  <si>
    <t>Cellen kan</t>
  </si>
  <si>
    <t xml:space="preserve">formateres </t>
  </si>
  <si>
    <t>til tal.</t>
  </si>
  <si>
    <t>Kurs</t>
  </si>
  <si>
    <t>Helårlige terminer</t>
  </si>
  <si>
    <t xml:space="preserve">Kurs </t>
  </si>
  <si>
    <t>Beregning af ydelse på obligationslånet</t>
  </si>
  <si>
    <t>Negativt fortegn fordi det er penge, der skal betales.</t>
  </si>
  <si>
    <t>Beregning af effektiv rente på kontantlånet</t>
  </si>
  <si>
    <t>Obligationssiden</t>
  </si>
  <si>
    <t>Gæld</t>
  </si>
  <si>
    <t>primo</t>
  </si>
  <si>
    <t>Ny rest-</t>
  </si>
  <si>
    <t>gæld</t>
  </si>
  <si>
    <t>I alt</t>
  </si>
  <si>
    <t>Lånesum</t>
  </si>
  <si>
    <t>Skar</t>
  </si>
  <si>
    <t>før skat</t>
  </si>
  <si>
    <t>efter skat</t>
  </si>
  <si>
    <t>Betalings-</t>
  </si>
  <si>
    <t>rækken</t>
  </si>
  <si>
    <t>Samme grunddata som til 4.3.</t>
  </si>
  <si>
    <t>pr. måned</t>
  </si>
  <si>
    <t>A.</t>
  </si>
  <si>
    <t>B.</t>
  </si>
  <si>
    <t>Finansieringsbeløb uden rabat</t>
  </si>
  <si>
    <t>Finansieringsbeløb med rabat</t>
  </si>
  <si>
    <t>Aftalerente</t>
  </si>
  <si>
    <t>Over så kort en periode er den effektive rente meget</t>
  </si>
  <si>
    <t>følsom over for størrelsen af den mistede kontantrabat.</t>
  </si>
  <si>
    <t>Kurs, k</t>
  </si>
  <si>
    <t>Løbetid:  "uendelig"</t>
  </si>
  <si>
    <t>Ydelse = rente R</t>
  </si>
  <si>
    <t>Kurstab og stiftelsesomk. på 5%</t>
  </si>
  <si>
    <t>Se formel (12) i Appendix 2 med renteformler.</t>
  </si>
  <si>
    <t>Kontantlånssiden</t>
  </si>
  <si>
    <t>Se videre i lærebogen.</t>
  </si>
  <si>
    <t>1. Leasing som simpel lånetransaktion</t>
  </si>
  <si>
    <t>Købspris</t>
  </si>
  <si>
    <t>Leasingperiode</t>
  </si>
  <si>
    <t>Skattesats</t>
  </si>
  <si>
    <t xml:space="preserve">kr. </t>
  </si>
  <si>
    <t>Effektiv rente før skat</t>
  </si>
  <si>
    <t>Rentefod før skat</t>
  </si>
  <si>
    <t>Skatteprocent</t>
  </si>
  <si>
    <t>Værdier til bestemmelse af den månedlige rente</t>
  </si>
  <si>
    <t>Rentefod efter skat</t>
  </si>
  <si>
    <t>Ækvivalent månedlig rente</t>
  </si>
  <si>
    <t>Bemærk det negative fortegn</t>
  </si>
  <si>
    <t>Ydelse - se excel vinduet</t>
  </si>
  <si>
    <t>Tidspunkt</t>
  </si>
  <si>
    <t>Skat -besp</t>
  </si>
  <si>
    <t xml:space="preserve">Årlig skattebesparelse </t>
  </si>
  <si>
    <t>Nettobet</t>
  </si>
  <si>
    <t xml:space="preserve">Nuværdi </t>
  </si>
  <si>
    <t>Alternativ fremgangsmåde</t>
  </si>
  <si>
    <t>Slutværdi af ydelser år 1</t>
  </si>
  <si>
    <t>Antal perioder fra t = 1</t>
  </si>
  <si>
    <t>Skattebesparelse ultimo</t>
  </si>
  <si>
    <t xml:space="preserve">Nettobet. beregnet ultimo </t>
  </si>
  <si>
    <t>PV faktor</t>
  </si>
  <si>
    <t>PV Nettob</t>
  </si>
  <si>
    <t>Købssum</t>
  </si>
  <si>
    <t>Afskrivningssats</t>
  </si>
  <si>
    <t>Skattebe-</t>
  </si>
  <si>
    <t>sparelse</t>
  </si>
  <si>
    <t>Disk.</t>
  </si>
  <si>
    <t>faktor</t>
  </si>
  <si>
    <t>Nuværdi af skattebesparelser</t>
  </si>
  <si>
    <t>på afskrivninger</t>
  </si>
  <si>
    <t>Bet. efter</t>
  </si>
  <si>
    <t>skat ved</t>
  </si>
  <si>
    <t>Forskel</t>
  </si>
  <si>
    <t>Køb</t>
  </si>
  <si>
    <t>Leasing</t>
  </si>
  <si>
    <t>Betalingsrække -  Totalbetragtning</t>
  </si>
  <si>
    <t>Det passer med, at leasing er lidt dyrere.</t>
  </si>
  <si>
    <t>Bemærk modsat fortegn</t>
  </si>
  <si>
    <t>Nutidsværdifaktor</t>
  </si>
  <si>
    <t>Nuværdi år 1</t>
  </si>
  <si>
    <t>Rente før skat</t>
  </si>
  <si>
    <t>Rente efter skat</t>
  </si>
  <si>
    <t>Egenbetaling af rente</t>
  </si>
  <si>
    <t>Effektiv rente efter skat i leasingarrangementet</t>
  </si>
  <si>
    <t>Se bogens figur med betalingsrækkerne,</t>
  </si>
  <si>
    <t>Sum</t>
  </si>
  <si>
    <r>
      <t xml:space="preserve">pr. måned og </t>
    </r>
    <r>
      <rPr>
        <b/>
        <sz val="12"/>
        <color theme="1"/>
        <rFont val="Calibri"/>
        <family val="2"/>
        <scheme val="minor"/>
      </rPr>
      <t>forudbetalt</t>
    </r>
  </si>
  <si>
    <r>
      <t xml:space="preserve">kr. pr. måned, </t>
    </r>
    <r>
      <rPr>
        <b/>
        <sz val="12"/>
        <color theme="1"/>
        <rFont val="Calibri"/>
        <family val="2"/>
        <scheme val="minor"/>
      </rPr>
      <t>forudbetalt</t>
    </r>
  </si>
  <si>
    <t>Bogført</t>
  </si>
  <si>
    <t>værdi</t>
  </si>
  <si>
    <t>Afskriv-</t>
  </si>
  <si>
    <t>ning</t>
  </si>
  <si>
    <t>Antal perioder pr. år</t>
  </si>
  <si>
    <t>kan beregnes via funktionen IA = Interne Afkast</t>
  </si>
  <si>
    <t>Effektiv rente over 50 dage</t>
  </si>
  <si>
    <t>Beløb ved periodeudløb</t>
  </si>
  <si>
    <t>Kapitel 6. Vurdering af lån ved hjælp af kapitalværdimetoden</t>
  </si>
  <si>
    <t>Eksemplerne er ikke med i bogen.</t>
  </si>
  <si>
    <t>Eksempel</t>
  </si>
  <si>
    <t xml:space="preserve"> </t>
  </si>
  <si>
    <t>Betaling måned 0</t>
  </si>
  <si>
    <t>Betaling måned 1 -59</t>
  </si>
  <si>
    <t>Nuværdi for betalingerne  år 1 - 5</t>
  </si>
  <si>
    <t>Se også den store tabel t.h.</t>
  </si>
  <si>
    <t>3.1. Den generelle formel.  Se formel i bogen side 151.</t>
  </si>
  <si>
    <t>Side 153.</t>
  </si>
  <si>
    <t>Side 154.</t>
  </si>
  <si>
    <t>Side 154 - 155.</t>
  </si>
  <si>
    <t>3.5. Kassekredit. Side 155 - 157.</t>
  </si>
  <si>
    <t xml:space="preserve">Data til figur side 156. </t>
  </si>
  <si>
    <t xml:space="preserve">Kapitel 6.   Vurdering af lån </t>
  </si>
  <si>
    <t>Grundoplysninger, jfr. eksempel side 159:</t>
  </si>
  <si>
    <t xml:space="preserve">3.6.  Lån med kurstab.  </t>
  </si>
  <si>
    <t>A. Evigtvarende lån. Side 157 -158.</t>
  </si>
  <si>
    <t>B. Faste lån. Side 158 - 159.</t>
  </si>
  <si>
    <t>C. Serielån. Side 159 - 160.</t>
  </si>
  <si>
    <t>Eksempel side 162</t>
  </si>
  <si>
    <t>D. Annuitetslån. Side 160.</t>
  </si>
  <si>
    <t>E. Kontantlån. Side 163.</t>
  </si>
  <si>
    <t>Side 164</t>
  </si>
  <si>
    <t>6.4  Lånerente efter skat.  Side 165.</t>
  </si>
  <si>
    <t>4.2. Kassekreditrente.  Se bogen side 168.</t>
  </si>
  <si>
    <t>4.3.  Faste lån.  Side 168 - 169.</t>
  </si>
  <si>
    <t>4.4. Serielån.  Side 169 170.</t>
  </si>
  <si>
    <t>4.5.  Annuitetslån.  Side 170.</t>
  </si>
  <si>
    <t>6. Leasing.  Side 177.</t>
  </si>
  <si>
    <t>Eksempel side 178:</t>
  </si>
  <si>
    <t>2. Leasing efter skat. Side 179.</t>
  </si>
  <si>
    <t>Her er alle betalinger med.</t>
  </si>
  <si>
    <t>Betaling efter skat ved leasing</t>
  </si>
  <si>
    <t>er hentet i det foregående regneark.</t>
  </si>
  <si>
    <t>Jfr. tabellen  ovenfor</t>
  </si>
  <si>
    <t>Slutværdi</t>
  </si>
  <si>
    <t>Anlæggets anskaffelsessum efter skat:</t>
  </si>
  <si>
    <t>Anskaffelsessum efter skat</t>
  </si>
  <si>
    <t>Anlæggets leasingbetalinger,  nuværdi</t>
  </si>
  <si>
    <t>Renten er Lidt større end kalkulationsrenten på 7,5%</t>
  </si>
  <si>
    <t xml:space="preserve">  Køb billigst</t>
  </si>
  <si>
    <t xml:space="preserve">  Leasing dyrere</t>
  </si>
  <si>
    <t>Køb.  Side 180.</t>
  </si>
  <si>
    <t>Side 180 nederst.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</si>
</sst>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&quot;kr&quot;\ #,##0;[Red]&quot;kr&quot;\ \-#,##0"/>
    <numFmt numFmtId="165" formatCode="&quot;kr&quot;\ #,##0.00;[Red]&quot;kr&quot;\ \-#,##0.00"/>
    <numFmt numFmtId="166" formatCode="_ * #,##0_ ;_ * \-#,##0_ ;_ * &quot;-&quot;??_ ;_ @_ "/>
    <numFmt numFmtId="167" formatCode="0.0%"/>
    <numFmt numFmtId="168" formatCode="0.000"/>
    <numFmt numFmtId="169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9" fontId="0" fillId="0" borderId="2" xfId="0" applyNumberFormat="1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3" xfId="0" applyBorder="1"/>
    <xf numFmtId="43" fontId="0" fillId="0" borderId="0" xfId="1" applyFont="1"/>
    <xf numFmtId="166" fontId="0" fillId="0" borderId="2" xfId="1" applyNumberFormat="1" applyFont="1" applyBorder="1"/>
    <xf numFmtId="9" fontId="0" fillId="0" borderId="5" xfId="0" applyNumberFormat="1" applyBorder="1"/>
    <xf numFmtId="9" fontId="0" fillId="0" borderId="6" xfId="0" applyNumberFormat="1" applyBorder="1"/>
    <xf numFmtId="9" fontId="0" fillId="0" borderId="7" xfId="0" applyNumberFormat="1" applyBorder="1"/>
    <xf numFmtId="166" fontId="0" fillId="0" borderId="3" xfId="1" applyNumberFormat="1" applyFont="1" applyBorder="1"/>
    <xf numFmtId="166" fontId="0" fillId="0" borderId="4" xfId="1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0" fillId="2" borderId="1" xfId="0" applyFill="1" applyBorder="1" applyAlignment="1">
      <alignment horizontal="center"/>
    </xf>
    <xf numFmtId="0" fontId="4" fillId="0" borderId="0" xfId="0" applyFont="1"/>
    <xf numFmtId="0" fontId="0" fillId="2" borderId="2" xfId="0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6" fontId="0" fillId="0" borderId="0" xfId="0" applyNumberFormat="1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1" xfId="0" applyFill="1" applyBorder="1" applyAlignment="1">
      <alignment horizontal="center"/>
    </xf>
    <xf numFmtId="166" fontId="0" fillId="0" borderId="5" xfId="1" applyNumberFormat="1" applyFont="1" applyBorder="1"/>
    <xf numFmtId="166" fontId="0" fillId="0" borderId="6" xfId="1" applyNumberFormat="1" applyFont="1" applyBorder="1"/>
    <xf numFmtId="166" fontId="0" fillId="0" borderId="7" xfId="1" applyNumberFormat="1" applyFont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0" borderId="2" xfId="0" applyNumberFormat="1" applyBorder="1"/>
    <xf numFmtId="0" fontId="0" fillId="4" borderId="1" xfId="0" applyFill="1" applyBorder="1" applyAlignment="1">
      <alignment horizontal="center"/>
    </xf>
    <xf numFmtId="166" fontId="0" fillId="0" borderId="0" xfId="0" applyNumberFormat="1" applyFill="1" applyBorder="1"/>
    <xf numFmtId="9" fontId="0" fillId="0" borderId="0" xfId="0" applyNumberFormat="1"/>
    <xf numFmtId="0" fontId="5" fillId="0" borderId="0" xfId="0" applyFont="1"/>
    <xf numFmtId="2" fontId="0" fillId="0" borderId="0" xfId="0" applyNumberFormat="1"/>
    <xf numFmtId="10" fontId="0" fillId="2" borderId="0" xfId="0" applyNumberFormat="1" applyFill="1"/>
    <xf numFmtId="0" fontId="6" fillId="0" borderId="0" xfId="0" applyFont="1"/>
    <xf numFmtId="0" fontId="7" fillId="0" borderId="0" xfId="0" applyFont="1"/>
    <xf numFmtId="0" fontId="0" fillId="0" borderId="0" xfId="0" applyFont="1"/>
    <xf numFmtId="10" fontId="0" fillId="0" borderId="0" xfId="0" applyNumberFormat="1"/>
    <xf numFmtId="165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2" xfId="0" applyNumberFormat="1" applyBorder="1"/>
    <xf numFmtId="0" fontId="8" fillId="0" borderId="0" xfId="0" applyFont="1"/>
    <xf numFmtId="166" fontId="0" fillId="0" borderId="9" xfId="0" applyNumberFormat="1" applyBorder="1"/>
    <xf numFmtId="166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4" xfId="0" applyBorder="1"/>
    <xf numFmtId="164" fontId="0" fillId="0" borderId="0" xfId="0" applyNumberFormat="1"/>
    <xf numFmtId="1" fontId="0" fillId="0" borderId="0" xfId="0" applyNumberFormat="1"/>
    <xf numFmtId="43" fontId="0" fillId="0" borderId="0" xfId="0" applyNumberFormat="1"/>
    <xf numFmtId="10" fontId="2" fillId="2" borderId="8" xfId="0" applyNumberFormat="1" applyFont="1" applyFill="1" applyBorder="1"/>
    <xf numFmtId="166" fontId="6" fillId="2" borderId="1" xfId="1" applyNumberFormat="1" applyFont="1" applyFill="1" applyBorder="1"/>
    <xf numFmtId="164" fontId="6" fillId="2" borderId="1" xfId="0" applyNumberFormat="1" applyFont="1" applyFill="1" applyBorder="1"/>
    <xf numFmtId="10" fontId="7" fillId="2" borderId="1" xfId="0" applyNumberFormat="1" applyFont="1" applyFill="1" applyBorder="1"/>
    <xf numFmtId="2" fontId="7" fillId="2" borderId="1" xfId="0" applyNumberFormat="1" applyFont="1" applyFill="1" applyBorder="1"/>
    <xf numFmtId="0" fontId="9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/>
    <xf numFmtId="1" fontId="0" fillId="0" borderId="13" xfId="0" applyNumberFormat="1" applyBorder="1"/>
    <xf numFmtId="166" fontId="0" fillId="0" borderId="13" xfId="1" applyNumberFormat="1" applyFont="1" applyBorder="1"/>
    <xf numFmtId="0" fontId="0" fillId="0" borderId="11" xfId="0" applyBorder="1"/>
    <xf numFmtId="0" fontId="0" fillId="0" borderId="2" xfId="0" applyBorder="1" applyAlignment="1">
      <alignment horizontal="center"/>
    </xf>
    <xf numFmtId="1" fontId="0" fillId="0" borderId="3" xfId="0" applyNumberFormat="1" applyBorder="1"/>
    <xf numFmtId="1" fontId="0" fillId="0" borderId="4" xfId="0" applyNumberFormat="1" applyBorder="1"/>
    <xf numFmtId="0" fontId="10" fillId="0" borderId="0" xfId="0" applyFont="1"/>
    <xf numFmtId="0" fontId="0" fillId="0" borderId="2" xfId="0" applyBorder="1"/>
    <xf numFmtId="3" fontId="0" fillId="0" borderId="3" xfId="0" applyNumberFormat="1" applyFill="1" applyBorder="1"/>
    <xf numFmtId="3" fontId="0" fillId="0" borderId="4" xfId="0" applyNumberFormat="1" applyFill="1" applyBorder="1"/>
    <xf numFmtId="10" fontId="5" fillId="2" borderId="1" xfId="0" applyNumberFormat="1" applyFont="1" applyFill="1" applyBorder="1"/>
    <xf numFmtId="10" fontId="4" fillId="2" borderId="1" xfId="0" applyNumberFormat="1" applyFont="1" applyFill="1" applyBorder="1"/>
    <xf numFmtId="0" fontId="11" fillId="0" borderId="0" xfId="0" applyFont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5" xfId="0" applyBorder="1"/>
    <xf numFmtId="166" fontId="0" fillId="0" borderId="6" xfId="0" applyNumberFormat="1" applyBorder="1"/>
    <xf numFmtId="166" fontId="0" fillId="0" borderId="7" xfId="0" applyNumberFormat="1" applyBorder="1"/>
    <xf numFmtId="0" fontId="7" fillId="6" borderId="0" xfId="0" applyFont="1" applyFill="1"/>
    <xf numFmtId="3" fontId="6" fillId="7" borderId="0" xfId="0" applyNumberFormat="1" applyFont="1" applyFill="1"/>
    <xf numFmtId="9" fontId="6" fillId="7" borderId="0" xfId="0" applyNumberFormat="1" applyFont="1" applyFill="1"/>
    <xf numFmtId="0" fontId="6" fillId="7" borderId="0" xfId="0" applyFont="1" applyFill="1"/>
    <xf numFmtId="0" fontId="0" fillId="2" borderId="4" xfId="0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9" fontId="0" fillId="2" borderId="4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3" fontId="7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15" fillId="0" borderId="0" xfId="0" applyFont="1"/>
    <xf numFmtId="2" fontId="0" fillId="0" borderId="3" xfId="0" applyNumberFormat="1" applyBorder="1"/>
    <xf numFmtId="2" fontId="0" fillId="0" borderId="4" xfId="0" applyNumberFormat="1" applyBorder="1"/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/>
    <xf numFmtId="0" fontId="7" fillId="0" borderId="7" xfId="0" applyFont="1" applyBorder="1"/>
    <xf numFmtId="0" fontId="7" fillId="0" borderId="4" xfId="0" applyFont="1" applyBorder="1"/>
    <xf numFmtId="9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7" fillId="0" borderId="6" xfId="0" applyFont="1" applyBorder="1" applyAlignment="1">
      <alignment horizontal="center"/>
    </xf>
    <xf numFmtId="3" fontId="7" fillId="0" borderId="3" xfId="0" applyNumberFormat="1" applyFont="1" applyBorder="1"/>
    <xf numFmtId="0" fontId="7" fillId="0" borderId="7" xfId="0" applyFont="1" applyBorder="1" applyAlignment="1">
      <alignment horizontal="center"/>
    </xf>
    <xf numFmtId="3" fontId="7" fillId="0" borderId="4" xfId="0" applyNumberFormat="1" applyFont="1" applyBorder="1"/>
    <xf numFmtId="0" fontId="16" fillId="0" borderId="0" xfId="0" applyFont="1"/>
    <xf numFmtId="0" fontId="7" fillId="0" borderId="14" xfId="0" applyFont="1" applyBorder="1"/>
    <xf numFmtId="0" fontId="7" fillId="0" borderId="0" xfId="0" applyFont="1" applyBorder="1"/>
    <xf numFmtId="3" fontId="7" fillId="0" borderId="0" xfId="0" applyNumberFormat="1" applyFont="1" applyBorder="1"/>
    <xf numFmtId="3" fontId="7" fillId="0" borderId="15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/>
    <xf numFmtId="3" fontId="0" fillId="0" borderId="4" xfId="0" applyNumberFormat="1" applyBorder="1" applyAlignment="1">
      <alignment horizontal="center"/>
    </xf>
    <xf numFmtId="168" fontId="7" fillId="0" borderId="0" xfId="0" applyNumberFormat="1" applyFont="1"/>
    <xf numFmtId="2" fontId="7" fillId="0" borderId="0" xfId="0" applyNumberFormat="1" applyFont="1"/>
    <xf numFmtId="3" fontId="6" fillId="0" borderId="0" xfId="0" applyNumberFormat="1" applyFont="1" applyBorder="1"/>
    <xf numFmtId="3" fontId="5" fillId="0" borderId="0" xfId="0" applyNumberFormat="1" applyFont="1" applyFill="1"/>
    <xf numFmtId="3" fontId="17" fillId="0" borderId="0" xfId="0" applyNumberFormat="1" applyFont="1"/>
    <xf numFmtId="2" fontId="10" fillId="0" borderId="0" xfId="0" applyNumberFormat="1" applyFont="1"/>
    <xf numFmtId="3" fontId="5" fillId="8" borderId="1" xfId="0" applyNumberFormat="1" applyFont="1" applyFill="1" applyBorder="1"/>
    <xf numFmtId="3" fontId="5" fillId="9" borderId="1" xfId="0" applyNumberFormat="1" applyFont="1" applyFill="1" applyBorder="1"/>
    <xf numFmtId="0" fontId="18" fillId="0" borderId="0" xfId="0" applyFont="1"/>
    <xf numFmtId="3" fontId="5" fillId="0" borderId="0" xfId="0" applyNumberFormat="1" applyFont="1" applyFill="1" applyBorder="1"/>
    <xf numFmtId="0" fontId="19" fillId="0" borderId="0" xfId="0" applyFont="1"/>
    <xf numFmtId="169" fontId="6" fillId="0" borderId="0" xfId="0" applyNumberFormat="1" applyFont="1"/>
    <xf numFmtId="167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166" fontId="0" fillId="0" borderId="2" xfId="1" applyNumberFormat="1" applyFont="1" applyBorder="1" applyAlignment="1">
      <alignment vertical="top"/>
    </xf>
    <xf numFmtId="166" fontId="0" fillId="0" borderId="3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2" borderId="0" xfId="0" applyFill="1"/>
    <xf numFmtId="2" fontId="0" fillId="4" borderId="1" xfId="0" applyNumberFormat="1" applyFill="1" applyBorder="1"/>
    <xf numFmtId="10" fontId="0" fillId="0" borderId="0" xfId="0" applyNumberFormat="1" applyFill="1"/>
    <xf numFmtId="9" fontId="0" fillId="2" borderId="0" xfId="0" applyNumberFormat="1" applyFill="1"/>
    <xf numFmtId="165" fontId="0" fillId="4" borderId="0" xfId="0" applyNumberFormat="1" applyFill="1"/>
    <xf numFmtId="167" fontId="0" fillId="4" borderId="3" xfId="0" applyNumberFormat="1" applyFill="1" applyBorder="1"/>
    <xf numFmtId="167" fontId="0" fillId="4" borderId="4" xfId="0" applyNumberFormat="1" applyFill="1" applyBorder="1"/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166" fontId="6" fillId="4" borderId="8" xfId="1" applyNumberFormat="1" applyFont="1" applyFill="1" applyBorder="1"/>
    <xf numFmtId="166" fontId="6" fillId="4" borderId="8" xfId="0" applyNumberFormat="1" applyFont="1" applyFill="1" applyBorder="1"/>
    <xf numFmtId="9" fontId="0" fillId="5" borderId="0" xfId="0" applyNumberFormat="1" applyFill="1" applyAlignment="1">
      <alignment horizontal="center"/>
    </xf>
    <xf numFmtId="9" fontId="0" fillId="5" borderId="3" xfId="0" applyNumberFormat="1" applyFill="1" applyBorder="1"/>
    <xf numFmtId="1" fontId="0" fillId="5" borderId="3" xfId="1" applyNumberFormat="1" applyFont="1" applyFill="1" applyBorder="1"/>
    <xf numFmtId="9" fontId="0" fillId="5" borderId="6" xfId="0" applyNumberFormat="1" applyFill="1" applyBorder="1" applyAlignment="1">
      <alignment horizontal="center"/>
    </xf>
    <xf numFmtId="3" fontId="0" fillId="10" borderId="3" xfId="0" applyNumberFormat="1" applyFill="1" applyBorder="1"/>
    <xf numFmtId="3" fontId="0" fillId="10" borderId="4" xfId="0" applyNumberFormat="1" applyFill="1" applyBorder="1"/>
    <xf numFmtId="0" fontId="6" fillId="2" borderId="0" xfId="0" applyFont="1" applyFill="1"/>
    <xf numFmtId="3" fontId="6" fillId="2" borderId="0" xfId="0" applyNumberFormat="1" applyFont="1" applyFill="1"/>
    <xf numFmtId="3" fontId="5" fillId="10" borderId="4" xfId="0" applyNumberFormat="1" applyFont="1" applyFill="1" applyBorder="1"/>
    <xf numFmtId="3" fontId="7" fillId="10" borderId="0" xfId="0" applyNumberFormat="1" applyFont="1" applyFill="1"/>
    <xf numFmtId="10" fontId="0" fillId="4" borderId="0" xfId="0" applyNumberFormat="1" applyFill="1"/>
    <xf numFmtId="166" fontId="0" fillId="10" borderId="3" xfId="1" applyNumberFormat="1" applyFont="1" applyFill="1" applyBorder="1"/>
    <xf numFmtId="166" fontId="0" fillId="10" borderId="3" xfId="0" applyNumberFormat="1" applyFill="1" applyBorder="1"/>
    <xf numFmtId="166" fontId="0" fillId="10" borderId="4" xfId="0" applyNumberFormat="1" applyFill="1" applyBorder="1"/>
    <xf numFmtId="10" fontId="6" fillId="2" borderId="1" xfId="0" applyNumberFormat="1" applyFont="1" applyFill="1" applyBorder="1"/>
    <xf numFmtId="10" fontId="6" fillId="2" borderId="8" xfId="0" applyNumberFormat="1" applyFont="1" applyFill="1" applyBorder="1"/>
    <xf numFmtId="166" fontId="0" fillId="12" borderId="4" xfId="0" applyNumberFormat="1" applyFill="1" applyBorder="1"/>
    <xf numFmtId="166" fontId="0" fillId="12" borderId="3" xfId="0" applyNumberFormat="1" applyFill="1" applyBorder="1"/>
    <xf numFmtId="3" fontId="0" fillId="11" borderId="2" xfId="0" applyNumberFormat="1" applyFill="1" applyBorder="1" applyAlignment="1">
      <alignment horizontal="center"/>
    </xf>
    <xf numFmtId="3" fontId="0" fillId="11" borderId="3" xfId="0" applyNumberFormat="1" applyFill="1" applyBorder="1" applyAlignment="1">
      <alignment horizontal="center"/>
    </xf>
    <xf numFmtId="3" fontId="0" fillId="11" borderId="4" xfId="0" applyNumberForma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0" fillId="0" borderId="0" xfId="0" applyFill="1" applyAlignment="1"/>
    <xf numFmtId="9" fontId="0" fillId="0" borderId="0" xfId="0" applyNumberFormat="1" applyFill="1"/>
    <xf numFmtId="0" fontId="0" fillId="4" borderId="0" xfId="0" applyFill="1"/>
    <xf numFmtId="167" fontId="6" fillId="2" borderId="8" xfId="0" applyNumberFormat="1" applyFont="1" applyFill="1" applyBorder="1"/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67" fontId="2" fillId="2" borderId="8" xfId="0" applyNumberFormat="1" applyFont="1" applyFill="1" applyBorder="1"/>
    <xf numFmtId="167" fontId="5" fillId="2" borderId="1" xfId="0" applyNumberFormat="1" applyFont="1" applyFill="1" applyBorder="1"/>
    <xf numFmtId="10" fontId="6" fillId="4" borderId="0" xfId="0" applyNumberFormat="1" applyFont="1" applyFill="1"/>
    <xf numFmtId="0" fontId="6" fillId="4" borderId="0" xfId="0" applyFont="1" applyFill="1"/>
    <xf numFmtId="0" fontId="20" fillId="0" borderId="0" xfId="0" applyFont="1" applyAlignment="1">
      <alignment horizontal="left"/>
    </xf>
    <xf numFmtId="0" fontId="6" fillId="0" borderId="0" xfId="0" applyFont="1" applyAlignme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lineMarker"/>
        <c:ser>
          <c:idx val="2"/>
          <c:order val="0"/>
          <c:tx>
            <c:v>Effektiv rente  R</c:v>
          </c:tx>
          <c:spPr>
            <a:ln w="381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'6. 3. 1 - 6. 3. 5 '!$B$90:$B$93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'6. 3. 1 - 6. 3. 5 '!$F$90:$F$93</c:f>
              <c:numCache>
                <c:formatCode>0.00%</c:formatCode>
                <c:ptCount val="4"/>
                <c:pt idx="0">
                  <c:v>0.05</c:v>
                </c:pt>
                <c:pt idx="1">
                  <c:v>3.5000000000000003E-2</c:v>
                </c:pt>
                <c:pt idx="2">
                  <c:v>0.03</c:v>
                </c:pt>
                <c:pt idx="3">
                  <c:v>2.75E-2</c:v>
                </c:pt>
              </c:numCache>
            </c:numRef>
          </c:yVal>
        </c:ser>
        <c:ser>
          <c:idx val="3"/>
          <c:order val="1"/>
          <c:tx>
            <c:v>Direkte sum  r + p</c:v>
          </c:tx>
          <c:spPr>
            <a:ln>
              <a:prstDash val="dash"/>
            </a:ln>
          </c:spPr>
          <c:marker>
            <c:spPr>
              <a:ln>
                <a:prstDash val="dash"/>
              </a:ln>
            </c:spPr>
          </c:marker>
          <c:xVal>
            <c:numRef>
              <c:f>'6. 3. 1 - 6. 3. 5 '!$B$90:$B$93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'6. 3. 1 - 6. 3. 5 '!$E$90:$E$93</c:f>
              <c:numCache>
                <c:formatCode>0.00%</c:formatCode>
                <c:ptCount val="4"/>
                <c:pt idx="0">
                  <c:v>2.75E-2</c:v>
                </c:pt>
                <c:pt idx="1">
                  <c:v>2.75E-2</c:v>
                </c:pt>
                <c:pt idx="2">
                  <c:v>2.75E-2</c:v>
                </c:pt>
                <c:pt idx="3">
                  <c:v>2.75E-2</c:v>
                </c:pt>
              </c:numCache>
            </c:numRef>
          </c:yVal>
        </c:ser>
        <c:ser>
          <c:idx val="0"/>
          <c:order val="2"/>
          <c:tx>
            <c:v> KK  rente  r</c:v>
          </c:tx>
          <c:xVal>
            <c:numRef>
              <c:f>'6. 3. 1 - 6. 3. 5 '!$B$90:$B$93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'6. 3. 1 - 6. 3. 5 '!$C$90:$C$93</c:f>
              <c:numCache>
                <c:formatCode>0.00%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yVal>
        </c:ser>
        <c:ser>
          <c:idx val="1"/>
          <c:order val="3"/>
          <c:tx>
            <c:v>Provision  p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'6. 3. 1 - 6. 3. 5 '!$B$90:$B$93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'6. 3. 1 - 6. 3. 5 '!$D$90:$D$93</c:f>
              <c:numCache>
                <c:formatCode>0.00%</c:formatCode>
                <c:ptCount val="4"/>
                <c:pt idx="0">
                  <c:v>7.4999999999999997E-3</c:v>
                </c:pt>
                <c:pt idx="1">
                  <c:v>7.4999999999999997E-3</c:v>
                </c:pt>
                <c:pt idx="2">
                  <c:v>7.4999999999999997E-3</c:v>
                </c:pt>
                <c:pt idx="3">
                  <c:v>7.4999999999999997E-3</c:v>
                </c:pt>
              </c:numCache>
            </c:numRef>
          </c:yVal>
        </c:ser>
        <c:axId val="50260224"/>
        <c:axId val="52232960"/>
      </c:scatterChart>
      <c:valAx>
        <c:axId val="50260224"/>
        <c:scaling>
          <c:orientation val="minMax"/>
        </c:scaling>
        <c:axPos val="b"/>
        <c:numFmt formatCode="0%" sourceLinked="1"/>
        <c:tickLblPos val="nextTo"/>
        <c:crossAx val="52232960"/>
        <c:crosses val="autoZero"/>
        <c:crossBetween val="midCat"/>
      </c:valAx>
      <c:valAx>
        <c:axId val="52232960"/>
        <c:scaling>
          <c:orientation val="minMax"/>
        </c:scaling>
        <c:axPos val="l"/>
        <c:majorGridlines/>
        <c:numFmt formatCode="0.00%" sourceLinked="1"/>
        <c:tickLblPos val="nextTo"/>
        <c:crossAx val="5026022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3347222222222241"/>
          <c:y val="2.7777777777778099E-2"/>
          <c:w val="0.57472222222222225"/>
          <c:h val="0.15775120260138226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5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'6. 3. 1 - 6. 3. 5 '!$F$101</c:f>
              <c:strCache>
                <c:ptCount val="1"/>
                <c:pt idx="0">
                  <c:v>R  pr. år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 w="38100">
                <a:solidFill>
                  <a:srgbClr val="FF0000"/>
                </a:solidFill>
              </a:ln>
            </c:spPr>
          </c:marker>
          <c:xVal>
            <c:numRef>
              <c:f>'6. 3. 1 - 6. 3. 5 '!$E$102:$E$105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'6. 3. 1 - 6. 3. 5 '!$F$102:$F$105</c:f>
              <c:numCache>
                <c:formatCode>0.0%</c:formatCode>
                <c:ptCount val="4"/>
                <c:pt idx="0">
                  <c:v>0.21550625000000001</c:v>
                </c:pt>
                <c:pt idx="1">
                  <c:v>0.14752300062499968</c:v>
                </c:pt>
                <c:pt idx="2">
                  <c:v>0.12550880999999992</c:v>
                </c:pt>
                <c:pt idx="3">
                  <c:v>0.11462125941406276</c:v>
                </c:pt>
              </c:numCache>
            </c:numRef>
          </c:yVal>
        </c:ser>
        <c:axId val="74336896"/>
        <c:axId val="74847360"/>
      </c:scatterChart>
      <c:valAx>
        <c:axId val="74336896"/>
        <c:scaling>
          <c:orientation val="minMax"/>
        </c:scaling>
        <c:axPos val="b"/>
        <c:numFmt formatCode="0%" sourceLinked="1"/>
        <c:tickLblPos val="nextTo"/>
        <c:crossAx val="74847360"/>
        <c:crosses val="autoZero"/>
        <c:crossBetween val="midCat"/>
      </c:valAx>
      <c:valAx>
        <c:axId val="74847360"/>
        <c:scaling>
          <c:orientation val="minMax"/>
        </c:scaling>
        <c:axPos val="l"/>
        <c:majorGridlines/>
        <c:numFmt formatCode="0.0%" sourceLinked="1"/>
        <c:tickLblPos val="nextTo"/>
        <c:crossAx val="74336896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smoothMarker"/>
        <c:ser>
          <c:idx val="0"/>
          <c:order val="0"/>
          <c:xVal>
            <c:numRef>
              <c:f>'6 .3..Nuværdimetoden'!$B$71:$B$81</c:f>
              <c:numCache>
                <c:formatCode>0%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</c:numCache>
            </c:numRef>
          </c:xVal>
          <c:yVal>
            <c:numRef>
              <c:f>'6 .3..Nuværdimetoden'!$C$71:$C$81</c:f>
              <c:numCache>
                <c:formatCode>_ * #,##0_ ;_ * \-#,##0_ ;_ * "-"??_ ;_ @_ </c:formatCode>
                <c:ptCount val="11"/>
                <c:pt idx="0">
                  <c:v>-49029.488697075314</c:v>
                </c:pt>
                <c:pt idx="1">
                  <c:v>-33867.00506582958</c:v>
                </c:pt>
                <c:pt idx="2">
                  <c:v>-20876.265087254636</c:v>
                </c:pt>
                <c:pt idx="3">
                  <c:v>-9687.0010038297187</c:v>
                </c:pt>
                <c:pt idx="4">
                  <c:v>0</c:v>
                </c:pt>
                <c:pt idx="5">
                  <c:v>8427.8305971963418</c:v>
                </c:pt>
                <c:pt idx="6">
                  <c:v>15795.015105148836</c:v>
                </c:pt>
                <c:pt idx="7">
                  <c:v>22264.495224805331</c:v>
                </c:pt>
                <c:pt idx="8">
                  <c:v>27970.658012882792</c:v>
                </c:pt>
                <c:pt idx="9">
                  <c:v>33024.861730688091</c:v>
                </c:pt>
                <c:pt idx="10">
                  <c:v>37519.80287136072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'6 .3..Nuværdimetoden'!$B$71:$B$81</c:f>
              <c:numCache>
                <c:formatCode>0%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</c:numCache>
            </c:numRef>
          </c:xVal>
          <c:yVal>
            <c:numRef>
              <c:f>'6 .3..Nuværdimetoden'!$D$71:$D$81</c:f>
              <c:numCache>
                <c:formatCode>_ * #,##0_ ;_ * \-#,##0_ ;_ * "-"??_ ;_ @_ </c:formatCode>
                <c:ptCount val="11"/>
                <c:pt idx="0">
                  <c:v>-80000</c:v>
                </c:pt>
                <c:pt idx="1">
                  <c:v>-53895.510037453438</c:v>
                </c:pt>
                <c:pt idx="2">
                  <c:v>-32443.583117420058</c:v>
                </c:pt>
                <c:pt idx="3">
                  <c:v>-14720.174102829347</c:v>
                </c:pt>
                <c:pt idx="4">
                  <c:v>0</c:v>
                </c:pt>
                <c:pt idx="5">
                  <c:v>12289.134211409415</c:v>
                </c:pt>
                <c:pt idx="6">
                  <c:v>22600.892113643509</c:v>
                </c:pt>
                <c:pt idx="7">
                  <c:v>31296.693877761543</c:v>
                </c:pt>
                <c:pt idx="8">
                  <c:v>38665.819827659761</c:v>
                </c:pt>
                <c:pt idx="9">
                  <c:v>44940.86294924411</c:v>
                </c:pt>
                <c:pt idx="10">
                  <c:v>50309.665026609255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'6 .3..Nuværdimetoden'!$B$71:$B$81</c:f>
              <c:numCache>
                <c:formatCode>0%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</c:numCache>
            </c:numRef>
          </c:xVal>
          <c:yVal>
            <c:numRef>
              <c:f>'6 .3..Nuværdimetoden'!$E$71:$E$81</c:f>
              <c:numCache>
                <c:formatCode>_ * #,##0_ ;_ * \-#,##0_ ;_ * "-"??_ ;_ @_ </c:formatCode>
                <c:ptCount val="11"/>
                <c:pt idx="0">
                  <c:v>-44000</c:v>
                </c:pt>
                <c:pt idx="1">
                  <c:v>-30522.449812732913</c:v>
                </c:pt>
                <c:pt idx="2">
                  <c:v>-18891.042206449711</c:v>
                </c:pt>
                <c:pt idx="3">
                  <c:v>-8799.7098286176624</c:v>
                </c:pt>
                <c:pt idx="4">
                  <c:v>0</c:v>
                </c:pt>
                <c:pt idx="5">
                  <c:v>7710.8657885906723</c:v>
                </c:pt>
                <c:pt idx="6">
                  <c:v>14499.256571963822</c:v>
                </c:pt>
                <c:pt idx="7">
                  <c:v>20502.361515884681</c:v>
                </c:pt>
                <c:pt idx="8">
                  <c:v>25833.86260771261</c:v>
                </c:pt>
                <c:pt idx="9">
                  <c:v>30588.409472642132</c:v>
                </c:pt>
                <c:pt idx="10">
                  <c:v>34845.167486695362</c:v>
                </c:pt>
              </c:numCache>
            </c:numRef>
          </c:yVal>
          <c:smooth val="1"/>
        </c:ser>
        <c:axId val="83647488"/>
        <c:axId val="50225920"/>
      </c:scatterChart>
      <c:valAx>
        <c:axId val="83647488"/>
        <c:scaling>
          <c:orientation val="minMax"/>
        </c:scaling>
        <c:axPos val="b"/>
        <c:numFmt formatCode="0%" sourceLinked="1"/>
        <c:tickLblPos val="nextTo"/>
        <c:crossAx val="50225920"/>
        <c:crosses val="autoZero"/>
        <c:crossBetween val="midCat"/>
      </c:valAx>
      <c:valAx>
        <c:axId val="50225920"/>
        <c:scaling>
          <c:orientation val="minMax"/>
        </c:scaling>
        <c:axPos val="l"/>
        <c:majorGridlines/>
        <c:numFmt formatCode="_ * #,##0_ ;_ * \-#,##0_ ;_ * &quot;-&quot;??_ ;_ @_ " sourceLinked="1"/>
        <c:tickLblPos val="nextTo"/>
        <c:crossAx val="83647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826770</xdr:colOff>
      <xdr:row>10</xdr:row>
      <xdr:rowOff>74294</xdr:rowOff>
    </xdr:from>
    <xdr:to>
      <xdr:col>9</xdr:col>
      <xdr:colOff>213360</xdr:colOff>
      <xdr:row>12</xdr:row>
      <xdr:rowOff>45719</xdr:rowOff>
    </xdr:to>
    <xdr:sp macro="" textlink="">
      <xdr:nvSpPr>
        <xdr:cNvPr id="3" name="Tekstboks 2"/>
        <xdr:cNvSpPr txBox="1"/>
      </xdr:nvSpPr>
      <xdr:spPr>
        <a:xfrm>
          <a:off x="4164330" y="2139314"/>
          <a:ext cx="2084070" cy="33718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aseline="0">
              <a:solidFill>
                <a:schemeClr val="tx1"/>
              </a:solidFill>
            </a:rPr>
            <a:t>108,24  </a:t>
          </a:r>
          <a:r>
            <a:rPr lang="da-DK" sz="1400">
              <a:solidFill>
                <a:schemeClr val="tx1"/>
              </a:solidFill>
            </a:rPr>
            <a:t>=   E8*(1+E9)^E10</a:t>
          </a:r>
        </a:p>
      </xdr:txBody>
    </xdr:sp>
    <xdr:clientData/>
  </xdr:twoCellAnchor>
  <xdr:twoCellAnchor>
    <xdr:from>
      <xdr:col>5</xdr:col>
      <xdr:colOff>676274</xdr:colOff>
      <xdr:row>30</xdr:row>
      <xdr:rowOff>70485</xdr:rowOff>
    </xdr:from>
    <xdr:to>
      <xdr:col>10</xdr:col>
      <xdr:colOff>129540</xdr:colOff>
      <xdr:row>32</xdr:row>
      <xdr:rowOff>51435</xdr:rowOff>
    </xdr:to>
    <xdr:sp macro="" textlink="">
      <xdr:nvSpPr>
        <xdr:cNvPr id="5" name="Tekstboks 4"/>
        <xdr:cNvSpPr txBox="1"/>
      </xdr:nvSpPr>
      <xdr:spPr>
        <a:xfrm>
          <a:off x="4013834" y="5899785"/>
          <a:ext cx="2760346" cy="3619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/>
            <a:t>15,7 %   =  (1+E28)^(E30/E21)  -  1</a:t>
          </a:r>
        </a:p>
      </xdr:txBody>
    </xdr:sp>
    <xdr:clientData/>
  </xdr:twoCellAnchor>
  <xdr:twoCellAnchor>
    <xdr:from>
      <xdr:col>5</xdr:col>
      <xdr:colOff>571499</xdr:colOff>
      <xdr:row>74</xdr:row>
      <xdr:rowOff>180975</xdr:rowOff>
    </xdr:from>
    <xdr:to>
      <xdr:col>10</xdr:col>
      <xdr:colOff>476249</xdr:colOff>
      <xdr:row>77</xdr:row>
      <xdr:rowOff>28575</xdr:rowOff>
    </xdr:to>
    <xdr:sp macro="" textlink="">
      <xdr:nvSpPr>
        <xdr:cNvPr id="7" name="Tekstboks 6"/>
        <xdr:cNvSpPr txBox="1"/>
      </xdr:nvSpPr>
      <xdr:spPr>
        <a:xfrm>
          <a:off x="3809999" y="16202025"/>
          <a:ext cx="30003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/>
            <a:t>=  (1 + E71 +  E72/E74) ^E73  -  1</a:t>
          </a:r>
        </a:p>
      </xdr:txBody>
    </xdr:sp>
    <xdr:clientData/>
  </xdr:twoCellAnchor>
  <xdr:twoCellAnchor>
    <xdr:from>
      <xdr:col>5</xdr:col>
      <xdr:colOff>590550</xdr:colOff>
      <xdr:row>78</xdr:row>
      <xdr:rowOff>47625</xdr:rowOff>
    </xdr:from>
    <xdr:to>
      <xdr:col>10</xdr:col>
      <xdr:colOff>485775</xdr:colOff>
      <xdr:row>80</xdr:row>
      <xdr:rowOff>66675</xdr:rowOff>
    </xdr:to>
    <xdr:sp macro="" textlink="">
      <xdr:nvSpPr>
        <xdr:cNvPr id="8" name="Tekstboks 7"/>
        <xdr:cNvSpPr txBox="1"/>
      </xdr:nvSpPr>
      <xdr:spPr>
        <a:xfrm>
          <a:off x="3829050" y="16859250"/>
          <a:ext cx="29908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/>
            <a:t>=  (1 + E71 + E72/E75) ^ E73   -  1</a:t>
          </a:r>
        </a:p>
      </xdr:txBody>
    </xdr:sp>
    <xdr:clientData/>
  </xdr:twoCellAnchor>
  <xdr:twoCellAnchor>
    <xdr:from>
      <xdr:col>7</xdr:col>
      <xdr:colOff>411480</xdr:colOff>
      <xdr:row>83</xdr:row>
      <xdr:rowOff>32385</xdr:rowOff>
    </xdr:from>
    <xdr:to>
      <xdr:col>15</xdr:col>
      <xdr:colOff>106680</xdr:colOff>
      <xdr:row>97</xdr:row>
      <xdr:rowOff>108585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373380</xdr:colOff>
      <xdr:row>99</xdr:row>
      <xdr:rowOff>62865</xdr:rowOff>
    </xdr:from>
    <xdr:to>
      <xdr:col>15</xdr:col>
      <xdr:colOff>68580</xdr:colOff>
      <xdr:row>113</xdr:row>
      <xdr:rowOff>139065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685800</xdr:colOff>
      <xdr:row>16</xdr:row>
      <xdr:rowOff>80428</xdr:rowOff>
    </xdr:from>
    <xdr:to>
      <xdr:col>14</xdr:col>
      <xdr:colOff>38100</xdr:colOff>
      <xdr:row>27</xdr:row>
      <xdr:rowOff>106680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3360" y="3273208"/>
          <a:ext cx="5097780" cy="21293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723900</xdr:colOff>
      <xdr:row>33</xdr:row>
      <xdr:rowOff>194468</xdr:rowOff>
    </xdr:from>
    <xdr:to>
      <xdr:col>13</xdr:col>
      <xdr:colOff>548640</xdr:colOff>
      <xdr:row>47</xdr:row>
      <xdr:rowOff>170394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1460" y="6618128"/>
          <a:ext cx="4960620" cy="26276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765416</xdr:colOff>
      <xdr:row>49</xdr:row>
      <xdr:rowOff>7620</xdr:rowOff>
    </xdr:from>
    <xdr:to>
      <xdr:col>12</xdr:col>
      <xdr:colOff>548640</xdr:colOff>
      <xdr:row>63</xdr:row>
      <xdr:rowOff>129540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02976" y="9456420"/>
          <a:ext cx="4309504" cy="2705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61</xdr:row>
      <xdr:rowOff>66676</xdr:rowOff>
    </xdr:from>
    <xdr:to>
      <xdr:col>11</xdr:col>
      <xdr:colOff>47624</xdr:colOff>
      <xdr:row>63</xdr:row>
      <xdr:rowOff>9526</xdr:rowOff>
    </xdr:to>
    <xdr:sp macro="" textlink="">
      <xdr:nvSpPr>
        <xdr:cNvPr id="6" name="Tekstboks 5"/>
        <xdr:cNvSpPr txBox="1"/>
      </xdr:nvSpPr>
      <xdr:spPr>
        <a:xfrm>
          <a:off x="4457699" y="11039476"/>
          <a:ext cx="2924175" cy="3238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="1"/>
            <a:t>=</a:t>
          </a:r>
          <a:r>
            <a:rPr lang="da-DK" sz="1400"/>
            <a:t>  </a:t>
          </a:r>
          <a:r>
            <a:rPr lang="da-DK" sz="1400" b="1"/>
            <a:t>D59 * (D57/((1 -(1+D57) ^ -D58)))</a:t>
          </a:r>
        </a:p>
      </xdr:txBody>
    </xdr:sp>
    <xdr:clientData/>
  </xdr:twoCellAnchor>
  <xdr:twoCellAnchor>
    <xdr:from>
      <xdr:col>3</xdr:col>
      <xdr:colOff>99060</xdr:colOff>
      <xdr:row>87</xdr:row>
      <xdr:rowOff>19051</xdr:rowOff>
    </xdr:from>
    <xdr:to>
      <xdr:col>5</xdr:col>
      <xdr:colOff>662940</xdr:colOff>
      <xdr:row>89</xdr:row>
      <xdr:rowOff>38101</xdr:rowOff>
    </xdr:to>
    <xdr:sp macro="" textlink="">
      <xdr:nvSpPr>
        <xdr:cNvPr id="7" name="Tekstboks 6"/>
        <xdr:cNvSpPr txBox="1"/>
      </xdr:nvSpPr>
      <xdr:spPr>
        <a:xfrm>
          <a:off x="2141220" y="16325851"/>
          <a:ext cx="2095500" cy="38481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/>
            <a:t>=  RENTE(D58;  F68;  D60)</a:t>
          </a:r>
        </a:p>
      </xdr:txBody>
    </xdr:sp>
    <xdr:clientData/>
  </xdr:twoCellAnchor>
  <xdr:twoCellAnchor>
    <xdr:from>
      <xdr:col>6</xdr:col>
      <xdr:colOff>371474</xdr:colOff>
      <xdr:row>108</xdr:row>
      <xdr:rowOff>28575</xdr:rowOff>
    </xdr:from>
    <xdr:to>
      <xdr:col>10</xdr:col>
      <xdr:colOff>219074</xdr:colOff>
      <xdr:row>110</xdr:row>
      <xdr:rowOff>47625</xdr:rowOff>
    </xdr:to>
    <xdr:sp macro="" textlink="">
      <xdr:nvSpPr>
        <xdr:cNvPr id="8" name="Tekstboks 7"/>
        <xdr:cNvSpPr txBox="1"/>
      </xdr:nvSpPr>
      <xdr:spPr>
        <a:xfrm>
          <a:off x="4552949" y="20412075"/>
          <a:ext cx="2390775" cy="40005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="1"/>
            <a:t>= YDELSE(D103;  D105;  D108)</a:t>
          </a:r>
        </a:p>
      </xdr:txBody>
    </xdr:sp>
    <xdr:clientData/>
  </xdr:twoCellAnchor>
  <xdr:twoCellAnchor>
    <xdr:from>
      <xdr:col>6</xdr:col>
      <xdr:colOff>363855</xdr:colOff>
      <xdr:row>111</xdr:row>
      <xdr:rowOff>40005</xdr:rowOff>
    </xdr:from>
    <xdr:to>
      <xdr:col>10</xdr:col>
      <xdr:colOff>173355</xdr:colOff>
      <xdr:row>113</xdr:row>
      <xdr:rowOff>30480</xdr:rowOff>
    </xdr:to>
    <xdr:sp macro="" textlink="">
      <xdr:nvSpPr>
        <xdr:cNvPr id="9" name="Tekstboks 8"/>
        <xdr:cNvSpPr txBox="1"/>
      </xdr:nvSpPr>
      <xdr:spPr>
        <a:xfrm>
          <a:off x="4646295" y="20796885"/>
          <a:ext cx="2392680" cy="35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="1">
              <a:solidFill>
                <a:schemeClr val="dk1"/>
              </a:solidFill>
              <a:latin typeface="+mn-lt"/>
              <a:ea typeface="+mn-ea"/>
              <a:cs typeface="+mn-cs"/>
            </a:rPr>
            <a:t>=  RENTE ( D105;  F110;  D106</a:t>
          </a:r>
          <a:r>
            <a:rPr lang="da-DK" sz="1200" b="1"/>
            <a:t>)</a:t>
          </a:r>
        </a:p>
      </xdr:txBody>
    </xdr:sp>
    <xdr:clientData/>
  </xdr:twoCellAnchor>
  <xdr:twoCellAnchor editAs="oneCell">
    <xdr:from>
      <xdr:col>8</xdr:col>
      <xdr:colOff>281940</xdr:colOff>
      <xdr:row>18</xdr:row>
      <xdr:rowOff>15240</xdr:rowOff>
    </xdr:from>
    <xdr:to>
      <xdr:col>18</xdr:col>
      <xdr:colOff>297180</xdr:colOff>
      <xdr:row>31</xdr:row>
      <xdr:rowOff>182880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8360" y="3520440"/>
          <a:ext cx="6111240" cy="2552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335280</xdr:colOff>
      <xdr:row>64</xdr:row>
      <xdr:rowOff>114300</xdr:rowOff>
    </xdr:from>
    <xdr:to>
      <xdr:col>16</xdr:col>
      <xdr:colOff>160020</xdr:colOff>
      <xdr:row>82</xdr:row>
      <xdr:rowOff>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7720" y="12184380"/>
          <a:ext cx="6065520" cy="31927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335280</xdr:colOff>
      <xdr:row>83</xdr:row>
      <xdr:rowOff>160020</xdr:rowOff>
    </xdr:from>
    <xdr:to>
      <xdr:col>13</xdr:col>
      <xdr:colOff>289560</xdr:colOff>
      <xdr:row>98</xdr:row>
      <xdr:rowOff>142306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17720" y="15720060"/>
          <a:ext cx="4366260" cy="2740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327659</xdr:colOff>
      <xdr:row>37</xdr:row>
      <xdr:rowOff>30480</xdr:rowOff>
    </xdr:from>
    <xdr:to>
      <xdr:col>16</xdr:col>
      <xdr:colOff>495300</xdr:colOff>
      <xdr:row>51</xdr:row>
      <xdr:rowOff>59222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74079" y="7086600"/>
          <a:ext cx="5044441" cy="26043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390526</xdr:colOff>
      <xdr:row>27</xdr:row>
      <xdr:rowOff>104775</xdr:rowOff>
    </xdr:from>
    <xdr:to>
      <xdr:col>9</xdr:col>
      <xdr:colOff>85726</xdr:colOff>
      <xdr:row>29</xdr:row>
      <xdr:rowOff>28575</xdr:rowOff>
    </xdr:to>
    <xdr:sp macro="" textlink="">
      <xdr:nvSpPr>
        <xdr:cNvPr id="2" name="Tekstboks 1"/>
        <xdr:cNvSpPr txBox="1"/>
      </xdr:nvSpPr>
      <xdr:spPr>
        <a:xfrm>
          <a:off x="4429126" y="4562475"/>
          <a:ext cx="1752600" cy="352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 b="1"/>
            <a:t>=  IA (I20  :  I25)</a:t>
          </a:r>
        </a:p>
      </xdr:txBody>
    </xdr:sp>
    <xdr:clientData/>
  </xdr:twoCellAnchor>
  <xdr:twoCellAnchor>
    <xdr:from>
      <xdr:col>6</xdr:col>
      <xdr:colOff>514349</xdr:colOff>
      <xdr:row>41</xdr:row>
      <xdr:rowOff>66675</xdr:rowOff>
    </xdr:from>
    <xdr:to>
      <xdr:col>9</xdr:col>
      <xdr:colOff>219074</xdr:colOff>
      <xdr:row>43</xdr:row>
      <xdr:rowOff>9525</xdr:rowOff>
    </xdr:to>
    <xdr:sp macro="" textlink="">
      <xdr:nvSpPr>
        <xdr:cNvPr id="3" name="Tekstboks 2"/>
        <xdr:cNvSpPr txBox="1"/>
      </xdr:nvSpPr>
      <xdr:spPr>
        <a:xfrm>
          <a:off x="4552949" y="7315200"/>
          <a:ext cx="1762125" cy="3714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 b="1"/>
            <a:t>=  IA ( I34 :  I39)</a:t>
          </a:r>
        </a:p>
      </xdr:txBody>
    </xdr:sp>
    <xdr:clientData/>
  </xdr:twoCellAnchor>
  <xdr:twoCellAnchor>
    <xdr:from>
      <xdr:col>7</xdr:col>
      <xdr:colOff>247651</xdr:colOff>
      <xdr:row>56</xdr:row>
      <xdr:rowOff>57150</xdr:rowOff>
    </xdr:from>
    <xdr:to>
      <xdr:col>9</xdr:col>
      <xdr:colOff>238126</xdr:colOff>
      <xdr:row>58</xdr:row>
      <xdr:rowOff>0</xdr:rowOff>
    </xdr:to>
    <xdr:sp macro="" textlink="">
      <xdr:nvSpPr>
        <xdr:cNvPr id="4" name="Tekstboks 3"/>
        <xdr:cNvSpPr txBox="1"/>
      </xdr:nvSpPr>
      <xdr:spPr>
        <a:xfrm>
          <a:off x="4962526" y="10287000"/>
          <a:ext cx="1371600" cy="3238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 b="1"/>
            <a:t>= IA (J48:J53)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66</xdr:row>
      <xdr:rowOff>57150</xdr:rowOff>
    </xdr:from>
    <xdr:to>
      <xdr:col>13</xdr:col>
      <xdr:colOff>152400</xdr:colOff>
      <xdr:row>80</xdr:row>
      <xdr:rowOff>133350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449580</xdr:colOff>
      <xdr:row>2</xdr:row>
      <xdr:rowOff>136796</xdr:rowOff>
    </xdr:from>
    <xdr:to>
      <xdr:col>13</xdr:col>
      <xdr:colOff>68580</xdr:colOff>
      <xdr:row>16</xdr:row>
      <xdr:rowOff>99059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5820" y="586376"/>
          <a:ext cx="4358640" cy="27359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495300</xdr:colOff>
      <xdr:row>19</xdr:row>
      <xdr:rowOff>64952</xdr:rowOff>
    </xdr:from>
    <xdr:to>
      <xdr:col>13</xdr:col>
      <xdr:colOff>228758</xdr:colOff>
      <xdr:row>33</xdr:row>
      <xdr:rowOff>99060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3913052"/>
          <a:ext cx="4473098" cy="28077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/>
  </sheetViews>
  <sheetFormatPr defaultRowHeight="14.4"/>
  <cols>
    <col min="5" max="5" width="13.109375" customWidth="1"/>
    <col min="6" max="6" width="12.6640625" customWidth="1"/>
  </cols>
  <sheetData>
    <row r="1" spans="1:7" ht="21">
      <c r="A1" s="25" t="s">
        <v>180</v>
      </c>
    </row>
    <row r="2" spans="1:7" s="47" customFormat="1" ht="15.6"/>
    <row r="3" spans="1:7" s="48" customFormat="1" ht="18">
      <c r="A3" s="43" t="s">
        <v>174</v>
      </c>
    </row>
    <row r="5" spans="1:7" ht="18">
      <c r="A5" s="43" t="s">
        <v>32</v>
      </c>
    </row>
    <row r="6" spans="1:7" ht="18">
      <c r="A6" s="43" t="s">
        <v>175</v>
      </c>
      <c r="E6" s="198"/>
      <c r="F6" s="83"/>
      <c r="G6" s="199"/>
    </row>
    <row r="8" spans="1:7">
      <c r="B8" t="s">
        <v>34</v>
      </c>
      <c r="E8">
        <v>100</v>
      </c>
      <c r="F8" t="s">
        <v>20</v>
      </c>
    </row>
    <row r="9" spans="1:7">
      <c r="B9" t="s">
        <v>1</v>
      </c>
      <c r="E9" s="200">
        <v>0.02</v>
      </c>
      <c r="F9" t="s">
        <v>28</v>
      </c>
    </row>
    <row r="10" spans="1:7">
      <c r="B10" t="s">
        <v>25</v>
      </c>
      <c r="E10">
        <v>4</v>
      </c>
      <c r="F10" t="s">
        <v>26</v>
      </c>
    </row>
    <row r="12" spans="1:7">
      <c r="B12" t="s">
        <v>27</v>
      </c>
      <c r="E12" s="160">
        <f>E8*( 1+E9)^E10</f>
        <v>108.243216</v>
      </c>
      <c r="F12" t="s">
        <v>20</v>
      </c>
    </row>
    <row r="13" spans="1:7">
      <c r="F13" s="42"/>
    </row>
    <row r="14" spans="1:7" ht="15" thickBot="1">
      <c r="B14" t="s">
        <v>30</v>
      </c>
      <c r="E14" s="44">
        <f>E12-E8</f>
        <v>8.2432160000000039</v>
      </c>
      <c r="F14" t="s">
        <v>20</v>
      </c>
    </row>
    <row r="15" spans="1:7" ht="16.2" thickBot="1">
      <c r="B15" t="s">
        <v>29</v>
      </c>
      <c r="E15" s="192">
        <f>E14/E8</f>
        <v>8.2432160000000032E-2</v>
      </c>
      <c r="F15" t="s">
        <v>31</v>
      </c>
    </row>
    <row r="17" spans="1:10" ht="18">
      <c r="A17" s="43" t="s">
        <v>33</v>
      </c>
    </row>
    <row r="18" spans="1:10" ht="18">
      <c r="A18" s="43" t="s">
        <v>176</v>
      </c>
    </row>
    <row r="20" spans="1:10">
      <c r="B20" t="s">
        <v>34</v>
      </c>
      <c r="E20">
        <v>98</v>
      </c>
      <c r="F20" t="s">
        <v>20</v>
      </c>
    </row>
    <row r="21" spans="1:10">
      <c r="B21" t="s">
        <v>35</v>
      </c>
      <c r="E21" s="201">
        <v>50</v>
      </c>
      <c r="F21" t="s">
        <v>36</v>
      </c>
    </row>
    <row r="22" spans="1:10">
      <c r="B22" t="s">
        <v>165</v>
      </c>
      <c r="E22">
        <v>100</v>
      </c>
      <c r="F22" t="s">
        <v>20</v>
      </c>
    </row>
    <row r="24" spans="1:10">
      <c r="B24" t="s">
        <v>164</v>
      </c>
      <c r="F24" s="42"/>
    </row>
    <row r="25" spans="1:10">
      <c r="B25" t="s">
        <v>163</v>
      </c>
      <c r="J25" s="42"/>
    </row>
    <row r="26" spans="1:10">
      <c r="B26" t="s">
        <v>38</v>
      </c>
      <c r="E26">
        <v>-98</v>
      </c>
    </row>
    <row r="27" spans="1:10">
      <c r="E27">
        <v>100</v>
      </c>
    </row>
    <row r="28" spans="1:10">
      <c r="B28" t="s">
        <v>39</v>
      </c>
      <c r="E28" s="187">
        <f>IRR(E26:E27)</f>
        <v>2.0408163265309788E-2</v>
      </c>
      <c r="F28" s="161"/>
    </row>
    <row r="30" spans="1:10">
      <c r="B30" t="s">
        <v>37</v>
      </c>
      <c r="E30">
        <v>360</v>
      </c>
      <c r="F30" t="s">
        <v>36</v>
      </c>
    </row>
    <row r="31" spans="1:10" ht="15" thickBot="1">
      <c r="B31" t="s">
        <v>162</v>
      </c>
      <c r="E31" s="201">
        <f>E30/E21</f>
        <v>7.2</v>
      </c>
    </row>
    <row r="32" spans="1:10" ht="16.2" thickBot="1">
      <c r="B32" t="s">
        <v>63</v>
      </c>
      <c r="E32" s="202">
        <f xml:space="preserve">  (1+E28)^(E30/E21)   -  1</f>
        <v>0.15657088405352848</v>
      </c>
    </row>
    <row r="34" spans="1:17" ht="18">
      <c r="A34" s="43" t="s">
        <v>40</v>
      </c>
    </row>
    <row r="35" spans="1:17" ht="18">
      <c r="A35" s="43" t="s">
        <v>177</v>
      </c>
    </row>
    <row r="37" spans="1:17">
      <c r="B37" t="s">
        <v>41</v>
      </c>
      <c r="E37" s="2">
        <v>6000</v>
      </c>
      <c r="F37" t="s">
        <v>20</v>
      </c>
    </row>
    <row r="38" spans="1:17">
      <c r="B38" t="s">
        <v>1</v>
      </c>
      <c r="E38" s="161">
        <v>1.7000000000000001E-2</v>
      </c>
      <c r="F38" t="s">
        <v>42</v>
      </c>
    </row>
    <row r="39" spans="1:17">
      <c r="B39" t="s">
        <v>35</v>
      </c>
      <c r="E39">
        <v>18</v>
      </c>
      <c r="F39" t="s">
        <v>43</v>
      </c>
    </row>
    <row r="41" spans="1:17">
      <c r="B41" t="s">
        <v>44</v>
      </c>
      <c r="E41" s="163">
        <f>PMT(E38,E39,E37                                         )</f>
        <v>-389.73389633670854</v>
      </c>
    </row>
    <row r="42" spans="1:17">
      <c r="E42" s="44"/>
    </row>
    <row r="44" spans="1:17">
      <c r="A44" s="3" t="s">
        <v>93</v>
      </c>
      <c r="B44" t="s">
        <v>95</v>
      </c>
      <c r="E44" s="2">
        <v>6000</v>
      </c>
      <c r="F44" t="s">
        <v>20</v>
      </c>
      <c r="Q44" s="95"/>
    </row>
    <row r="46" spans="1:17">
      <c r="B46" t="s">
        <v>97</v>
      </c>
      <c r="E46" s="161">
        <f>E38</f>
        <v>1.7000000000000001E-2</v>
      </c>
      <c r="F46" t="s">
        <v>92</v>
      </c>
    </row>
    <row r="48" spans="1:17">
      <c r="B48" t="s">
        <v>46</v>
      </c>
      <c r="E48">
        <v>12</v>
      </c>
    </row>
    <row r="49" spans="1:17" ht="15" thickBot="1"/>
    <row r="50" spans="1:17" ht="15" thickBot="1">
      <c r="B50" t="s">
        <v>47</v>
      </c>
      <c r="E50" s="62">
        <f xml:space="preserve"> (1 +E46)^E48  -  1</f>
        <v>0.22419735005332386</v>
      </c>
    </row>
    <row r="53" spans="1:17">
      <c r="A53" s="3" t="s">
        <v>94</v>
      </c>
      <c r="B53" t="s">
        <v>96</v>
      </c>
      <c r="E53" s="2">
        <v>5700</v>
      </c>
      <c r="F53" t="s">
        <v>20</v>
      </c>
    </row>
    <row r="55" spans="1:17">
      <c r="B55" t="s">
        <v>45</v>
      </c>
      <c r="E55" s="45">
        <f>RATE(E39,E41,E53                                 )</f>
        <v>2.2831896617365229E-2</v>
      </c>
      <c r="F55" t="s">
        <v>92</v>
      </c>
    </row>
    <row r="57" spans="1:17">
      <c r="B57" t="s">
        <v>46</v>
      </c>
      <c r="E57">
        <v>12</v>
      </c>
    </row>
    <row r="58" spans="1:17" ht="15" thickBot="1">
      <c r="Q58" s="94"/>
    </row>
    <row r="59" spans="1:17" ht="15" thickBot="1">
      <c r="B59" t="s">
        <v>47</v>
      </c>
      <c r="E59" s="62">
        <f xml:space="preserve"> (1 +E55)^E57  -  1</f>
        <v>0.31114630217305606</v>
      </c>
    </row>
    <row r="61" spans="1:17">
      <c r="B61" t="s">
        <v>98</v>
      </c>
    </row>
    <row r="62" spans="1:17">
      <c r="B62" t="s">
        <v>99</v>
      </c>
    </row>
    <row r="68" spans="1:6" ht="18">
      <c r="A68" s="43" t="s">
        <v>178</v>
      </c>
    </row>
    <row r="70" spans="1:6">
      <c r="B70" t="s">
        <v>48</v>
      </c>
      <c r="E70">
        <v>1</v>
      </c>
      <c r="F70" t="s">
        <v>20</v>
      </c>
    </row>
    <row r="71" spans="1:6">
      <c r="B71" t="s">
        <v>49</v>
      </c>
      <c r="E71" s="187">
        <v>0.02</v>
      </c>
      <c r="F71" t="s">
        <v>50</v>
      </c>
    </row>
    <row r="72" spans="1:6">
      <c r="B72" t="s">
        <v>51</v>
      </c>
      <c r="E72" s="187">
        <v>7.4999999999999997E-3</v>
      </c>
      <c r="F72" t="s">
        <v>50</v>
      </c>
    </row>
    <row r="73" spans="1:6">
      <c r="B73" t="s">
        <v>52</v>
      </c>
      <c r="E73">
        <v>4</v>
      </c>
      <c r="F73" t="s">
        <v>26</v>
      </c>
    </row>
    <row r="74" spans="1:6">
      <c r="B74" t="s">
        <v>53</v>
      </c>
      <c r="E74" s="42">
        <v>0.6</v>
      </c>
    </row>
    <row r="75" spans="1:6">
      <c r="B75" t="s">
        <v>54</v>
      </c>
      <c r="E75" s="42">
        <v>1</v>
      </c>
    </row>
    <row r="76" spans="1:6" ht="15" thickBot="1"/>
    <row r="77" spans="1:6" ht="16.2" thickBot="1">
      <c r="B77" s="46" t="s">
        <v>55</v>
      </c>
      <c r="E77" s="206">
        <f xml:space="preserve">  (1 + E71 +  E72/E74) ^E73  -  1</f>
        <v>0.1364759281640624</v>
      </c>
    </row>
    <row r="79" spans="1:6" ht="15" thickBot="1"/>
    <row r="80" spans="1:6" ht="16.2" thickBot="1">
      <c r="B80" s="46" t="s">
        <v>56</v>
      </c>
      <c r="E80" s="206">
        <f xml:space="preserve">  (1 + E71 + E72/E75) ^ E73   -  1</f>
        <v>0.11462125941406276</v>
      </c>
    </row>
    <row r="87" spans="2:6" ht="18">
      <c r="B87" s="54" t="s">
        <v>179</v>
      </c>
    </row>
    <row r="88" spans="2:6">
      <c r="F88" t="s">
        <v>29</v>
      </c>
    </row>
    <row r="89" spans="2:6">
      <c r="B89" s="7" t="s">
        <v>57</v>
      </c>
      <c r="C89" s="7" t="s">
        <v>58</v>
      </c>
      <c r="D89" s="7" t="s">
        <v>59</v>
      </c>
      <c r="E89" s="33" t="s">
        <v>62</v>
      </c>
      <c r="F89" s="40" t="s">
        <v>61</v>
      </c>
    </row>
    <row r="90" spans="2:6">
      <c r="B90" s="8">
        <v>0.25</v>
      </c>
      <c r="C90" s="53">
        <f>$E$71</f>
        <v>0.02</v>
      </c>
      <c r="D90" s="53">
        <f>$E$72</f>
        <v>7.4999999999999997E-3</v>
      </c>
      <c r="E90" s="169">
        <f>C90+D90</f>
        <v>2.75E-2</v>
      </c>
      <c r="F90" s="172">
        <f>C90+D90/B90</f>
        <v>0.05</v>
      </c>
    </row>
    <row r="91" spans="2:6">
      <c r="B91" s="9">
        <v>0.5</v>
      </c>
      <c r="C91" s="51">
        <f>$E$71</f>
        <v>0.02</v>
      </c>
      <c r="D91" s="51">
        <f t="shared" ref="D91:D93" si="0">$E$72</f>
        <v>7.4999999999999997E-3</v>
      </c>
      <c r="E91" s="170">
        <f t="shared" ref="E91:E93" si="1">C91+D91</f>
        <v>2.75E-2</v>
      </c>
      <c r="F91" s="173">
        <f>C91+D91/B91</f>
        <v>3.5000000000000003E-2</v>
      </c>
    </row>
    <row r="92" spans="2:6">
      <c r="B92" s="9">
        <v>0.75</v>
      </c>
      <c r="C92" s="51">
        <f>$E$71</f>
        <v>0.02</v>
      </c>
      <c r="D92" s="51">
        <f t="shared" si="0"/>
        <v>7.4999999999999997E-3</v>
      </c>
      <c r="E92" s="170">
        <f t="shared" si="1"/>
        <v>2.75E-2</v>
      </c>
      <c r="F92" s="173">
        <f>C92+D92/B92</f>
        <v>0.03</v>
      </c>
    </row>
    <row r="93" spans="2:6">
      <c r="B93" s="10">
        <v>1</v>
      </c>
      <c r="C93" s="52">
        <f>$E$71</f>
        <v>0.02</v>
      </c>
      <c r="D93" s="52">
        <f t="shared" si="0"/>
        <v>7.4999999999999997E-3</v>
      </c>
      <c r="E93" s="171">
        <f t="shared" si="1"/>
        <v>2.75E-2</v>
      </c>
      <c r="F93" s="174">
        <f>C93+D93/B93</f>
        <v>2.75E-2</v>
      </c>
    </row>
    <row r="99" spans="5:6" ht="15.6">
      <c r="E99" s="47" t="s">
        <v>63</v>
      </c>
    </row>
    <row r="101" spans="5:6">
      <c r="E101" s="7" t="s">
        <v>57</v>
      </c>
      <c r="F101" s="40" t="s">
        <v>60</v>
      </c>
    </row>
    <row r="102" spans="5:6">
      <c r="E102" s="166">
        <v>0.25</v>
      </c>
      <c r="F102" s="164">
        <f>(1 + F90)^4 - 1</f>
        <v>0.21550625000000001</v>
      </c>
    </row>
    <row r="103" spans="5:6">
      <c r="E103" s="167">
        <v>0.5</v>
      </c>
      <c r="F103" s="164">
        <f>(1 + F91)^4 - 1</f>
        <v>0.14752300062499968</v>
      </c>
    </row>
    <row r="104" spans="5:6">
      <c r="E104" s="167">
        <v>0.75</v>
      </c>
      <c r="F104" s="164">
        <f>(1 + F92)^4 - 1</f>
        <v>0.12550880999999992</v>
      </c>
    </row>
    <row r="105" spans="5:6">
      <c r="E105" s="168">
        <v>1</v>
      </c>
      <c r="F105" s="165">
        <f>(1 + F93)^4 - 1</f>
        <v>0.11462125941406276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workbookViewId="0"/>
  </sheetViews>
  <sheetFormatPr defaultRowHeight="14.4"/>
  <cols>
    <col min="1" max="1" width="10" bestFit="1" customWidth="1"/>
    <col min="3" max="3" width="10.88671875" customWidth="1"/>
    <col min="4" max="4" width="11.6640625" customWidth="1"/>
    <col min="5" max="5" width="10.6640625" customWidth="1"/>
    <col min="6" max="6" width="10.33203125" customWidth="1"/>
    <col min="7" max="7" width="9.88671875" customWidth="1"/>
    <col min="8" max="8" width="10" customWidth="1"/>
  </cols>
  <sheetData>
    <row r="1" spans="1:8" ht="21">
      <c r="A1" s="25" t="s">
        <v>182</v>
      </c>
    </row>
    <row r="3" spans="1:8" ht="18">
      <c r="A3" s="43" t="s">
        <v>183</v>
      </c>
    </row>
    <row r="4" spans="1:8" ht="15" customHeight="1">
      <c r="A4" s="43"/>
      <c r="B4" s="67" t="s">
        <v>168</v>
      </c>
    </row>
    <row r="5" spans="1:8" ht="15" customHeight="1">
      <c r="A5" s="43"/>
      <c r="B5" t="s">
        <v>102</v>
      </c>
      <c r="E5" s="42">
        <v>0.03</v>
      </c>
      <c r="F5" t="s">
        <v>22</v>
      </c>
    </row>
    <row r="6" spans="1:8" ht="15" customHeight="1">
      <c r="A6" s="43"/>
      <c r="B6" t="s">
        <v>100</v>
      </c>
      <c r="E6">
        <v>0.95</v>
      </c>
      <c r="F6" t="s">
        <v>31</v>
      </c>
    </row>
    <row r="7" spans="1:8" ht="15" customHeight="1">
      <c r="A7" s="43"/>
      <c r="B7" t="s">
        <v>101</v>
      </c>
      <c r="D7" s="3"/>
    </row>
    <row r="8" spans="1:8" ht="15" customHeight="1">
      <c r="A8" s="43"/>
      <c r="B8" t="s">
        <v>29</v>
      </c>
      <c r="E8" s="191">
        <f>E5/E6</f>
        <v>3.1578947368421054E-2</v>
      </c>
      <c r="F8" s="49" t="s">
        <v>22</v>
      </c>
    </row>
    <row r="10" spans="1:8" ht="18">
      <c r="A10" s="43" t="s">
        <v>184</v>
      </c>
    </row>
    <row r="12" spans="1:8">
      <c r="B12" t="s">
        <v>181</v>
      </c>
      <c r="H12" t="s">
        <v>169</v>
      </c>
    </row>
    <row r="13" spans="1:8">
      <c r="B13" t="s">
        <v>17</v>
      </c>
      <c r="D13" s="2">
        <v>100000</v>
      </c>
      <c r="E13" t="s">
        <v>20</v>
      </c>
    </row>
    <row r="14" spans="1:8">
      <c r="B14" t="s">
        <v>18</v>
      </c>
      <c r="D14" s="159">
        <v>95</v>
      </c>
      <c r="E14" t="s">
        <v>103</v>
      </c>
    </row>
    <row r="15" spans="1:8">
      <c r="B15" t="s">
        <v>19</v>
      </c>
      <c r="D15">
        <v>10</v>
      </c>
      <c r="E15" t="s">
        <v>21</v>
      </c>
    </row>
    <row r="16" spans="1:8">
      <c r="B16" t="s">
        <v>1</v>
      </c>
      <c r="D16" s="162">
        <v>0.05</v>
      </c>
      <c r="E16" t="s">
        <v>22</v>
      </c>
    </row>
    <row r="17" spans="2:8">
      <c r="B17" t="s">
        <v>74</v>
      </c>
    </row>
    <row r="19" spans="2:8">
      <c r="B19" s="7" t="s">
        <v>3</v>
      </c>
      <c r="C19" s="7" t="s">
        <v>23</v>
      </c>
      <c r="D19" s="7" t="s">
        <v>24</v>
      </c>
      <c r="E19" s="7" t="s">
        <v>8</v>
      </c>
      <c r="F19" s="7" t="s">
        <v>1</v>
      </c>
      <c r="G19" s="7" t="s">
        <v>5</v>
      </c>
      <c r="H19" s="57" t="s">
        <v>10</v>
      </c>
    </row>
    <row r="20" spans="2:8">
      <c r="B20" s="19">
        <v>0</v>
      </c>
      <c r="C20" s="188">
        <f>D13*D14/100</f>
        <v>95000</v>
      </c>
      <c r="D20" s="11"/>
      <c r="E20" s="11"/>
      <c r="F20" s="11"/>
      <c r="G20" s="11"/>
      <c r="H20" s="55">
        <f>C20</f>
        <v>95000</v>
      </c>
    </row>
    <row r="21" spans="2:8">
      <c r="B21" s="19">
        <f>B20+1</f>
        <v>1</v>
      </c>
      <c r="C21" s="11"/>
      <c r="D21" s="21">
        <f>D13</f>
        <v>100000</v>
      </c>
      <c r="E21" s="11">
        <v>0</v>
      </c>
      <c r="F21" s="17">
        <f>D21*$D$16</f>
        <v>5000</v>
      </c>
      <c r="G21" s="189">
        <f>SUM(E21:F21)</f>
        <v>5000</v>
      </c>
      <c r="H21" s="55">
        <f xml:space="preserve"> - G21</f>
        <v>-5000</v>
      </c>
    </row>
    <row r="22" spans="2:8">
      <c r="B22" s="19">
        <f t="shared" ref="B22:B30" si="0">B21+1</f>
        <v>2</v>
      </c>
      <c r="C22" s="11"/>
      <c r="D22" s="21">
        <f>D21</f>
        <v>100000</v>
      </c>
      <c r="E22" s="11">
        <v>0</v>
      </c>
      <c r="F22" s="17">
        <f t="shared" ref="F22:F30" si="1">D22*$D$16</f>
        <v>5000</v>
      </c>
      <c r="G22" s="189">
        <f t="shared" ref="G22:G30" si="2">SUM(E22:F22)</f>
        <v>5000</v>
      </c>
      <c r="H22" s="55">
        <f t="shared" ref="H22:H30" si="3" xml:space="preserve"> - G22</f>
        <v>-5000</v>
      </c>
    </row>
    <row r="23" spans="2:8">
      <c r="B23" s="19">
        <f t="shared" si="0"/>
        <v>3</v>
      </c>
      <c r="C23" s="11"/>
      <c r="D23" s="21">
        <f t="shared" ref="D23:D30" si="4">D22</f>
        <v>100000</v>
      </c>
      <c r="E23" s="11">
        <v>0</v>
      </c>
      <c r="F23" s="17">
        <f t="shared" si="1"/>
        <v>5000</v>
      </c>
      <c r="G23" s="189">
        <f t="shared" si="2"/>
        <v>5000</v>
      </c>
      <c r="H23" s="55">
        <f t="shared" si="3"/>
        <v>-5000</v>
      </c>
    </row>
    <row r="24" spans="2:8">
      <c r="B24" s="19">
        <f t="shared" si="0"/>
        <v>4</v>
      </c>
      <c r="C24" s="11"/>
      <c r="D24" s="21">
        <f t="shared" si="4"/>
        <v>100000</v>
      </c>
      <c r="E24" s="11">
        <v>0</v>
      </c>
      <c r="F24" s="17">
        <f t="shared" si="1"/>
        <v>5000</v>
      </c>
      <c r="G24" s="189">
        <f t="shared" si="2"/>
        <v>5000</v>
      </c>
      <c r="H24" s="55">
        <f t="shared" si="3"/>
        <v>-5000</v>
      </c>
    </row>
    <row r="25" spans="2:8">
      <c r="B25" s="19">
        <f t="shared" si="0"/>
        <v>5</v>
      </c>
      <c r="C25" s="11"/>
      <c r="D25" s="21">
        <f t="shared" si="4"/>
        <v>100000</v>
      </c>
      <c r="E25" s="11">
        <v>0</v>
      </c>
      <c r="F25" s="17">
        <f t="shared" si="1"/>
        <v>5000</v>
      </c>
      <c r="G25" s="189">
        <f t="shared" si="2"/>
        <v>5000</v>
      </c>
      <c r="H25" s="55">
        <f t="shared" si="3"/>
        <v>-5000</v>
      </c>
    </row>
    <row r="26" spans="2:8">
      <c r="B26" s="19">
        <f t="shared" si="0"/>
        <v>6</v>
      </c>
      <c r="C26" s="11"/>
      <c r="D26" s="21">
        <f t="shared" si="4"/>
        <v>100000</v>
      </c>
      <c r="E26" s="11">
        <v>0</v>
      </c>
      <c r="F26" s="17">
        <f t="shared" si="1"/>
        <v>5000</v>
      </c>
      <c r="G26" s="189">
        <f t="shared" si="2"/>
        <v>5000</v>
      </c>
      <c r="H26" s="55">
        <f t="shared" si="3"/>
        <v>-5000</v>
      </c>
    </row>
    <row r="27" spans="2:8">
      <c r="B27" s="19">
        <f t="shared" si="0"/>
        <v>7</v>
      </c>
      <c r="C27" s="11"/>
      <c r="D27" s="21">
        <f t="shared" si="4"/>
        <v>100000</v>
      </c>
      <c r="E27" s="11">
        <v>0</v>
      </c>
      <c r="F27" s="17">
        <f t="shared" si="1"/>
        <v>5000</v>
      </c>
      <c r="G27" s="189">
        <f t="shared" si="2"/>
        <v>5000</v>
      </c>
      <c r="H27" s="55">
        <f t="shared" si="3"/>
        <v>-5000</v>
      </c>
    </row>
    <row r="28" spans="2:8">
      <c r="B28" s="19">
        <f t="shared" si="0"/>
        <v>8</v>
      </c>
      <c r="C28" s="11"/>
      <c r="D28" s="21">
        <f t="shared" si="4"/>
        <v>100000</v>
      </c>
      <c r="E28" s="11">
        <v>0</v>
      </c>
      <c r="F28" s="17">
        <f t="shared" si="1"/>
        <v>5000</v>
      </c>
      <c r="G28" s="189">
        <f t="shared" si="2"/>
        <v>5000</v>
      </c>
      <c r="H28" s="55">
        <f t="shared" si="3"/>
        <v>-5000</v>
      </c>
    </row>
    <row r="29" spans="2:8">
      <c r="B29" s="19">
        <f t="shared" si="0"/>
        <v>9</v>
      </c>
      <c r="C29" s="11"/>
      <c r="D29" s="21">
        <f t="shared" si="4"/>
        <v>100000</v>
      </c>
      <c r="E29" s="11">
        <v>0</v>
      </c>
      <c r="F29" s="17">
        <f t="shared" si="1"/>
        <v>5000</v>
      </c>
      <c r="G29" s="189">
        <f t="shared" si="2"/>
        <v>5000</v>
      </c>
      <c r="H29" s="55">
        <f t="shared" si="3"/>
        <v>-5000</v>
      </c>
    </row>
    <row r="30" spans="2:8">
      <c r="B30" s="20">
        <f t="shared" si="0"/>
        <v>10</v>
      </c>
      <c r="C30" s="58"/>
      <c r="D30" s="32">
        <f t="shared" si="4"/>
        <v>100000</v>
      </c>
      <c r="E30" s="32">
        <f>D13</f>
        <v>100000</v>
      </c>
      <c r="F30" s="18">
        <f t="shared" si="1"/>
        <v>5000</v>
      </c>
      <c r="G30" s="190">
        <f t="shared" si="2"/>
        <v>105000</v>
      </c>
      <c r="H30" s="56">
        <f t="shared" si="3"/>
        <v>-105000</v>
      </c>
    </row>
    <row r="31" spans="2:8" ht="15" thickBot="1"/>
    <row r="32" spans="2:8" ht="16.2" thickBot="1">
      <c r="E32" t="s">
        <v>64</v>
      </c>
      <c r="H32" s="192">
        <f>IRR(H20:H30)</f>
        <v>5.6687175591706947E-2</v>
      </c>
    </row>
    <row r="34" spans="1:8" ht="18">
      <c r="A34" s="43" t="s">
        <v>185</v>
      </c>
    </row>
    <row r="36" spans="1:8">
      <c r="B36" t="s">
        <v>17</v>
      </c>
      <c r="D36" s="2">
        <v>100000</v>
      </c>
      <c r="E36" t="s">
        <v>20</v>
      </c>
    </row>
    <row r="37" spans="1:8">
      <c r="B37" t="s">
        <v>18</v>
      </c>
      <c r="D37">
        <v>96.85</v>
      </c>
    </row>
    <row r="38" spans="1:8">
      <c r="B38" t="s">
        <v>19</v>
      </c>
      <c r="D38">
        <v>4</v>
      </c>
      <c r="E38" t="s">
        <v>21</v>
      </c>
    </row>
    <row r="39" spans="1:8">
      <c r="B39" t="s">
        <v>1</v>
      </c>
      <c r="D39" s="42">
        <v>0.08</v>
      </c>
      <c r="E39" t="s">
        <v>22</v>
      </c>
    </row>
    <row r="40" spans="1:8">
      <c r="B40" t="s">
        <v>74</v>
      </c>
    </row>
    <row r="42" spans="1:8">
      <c r="B42" s="7" t="s">
        <v>3</v>
      </c>
      <c r="C42" s="7" t="s">
        <v>23</v>
      </c>
      <c r="D42" s="7" t="s">
        <v>24</v>
      </c>
      <c r="E42" s="7" t="s">
        <v>1</v>
      </c>
      <c r="F42" s="7" t="s">
        <v>8</v>
      </c>
      <c r="G42" s="7" t="s">
        <v>5</v>
      </c>
      <c r="H42" s="7" t="s">
        <v>10</v>
      </c>
    </row>
    <row r="43" spans="1:8">
      <c r="B43" s="19">
        <v>0</v>
      </c>
      <c r="C43" s="188">
        <f>D36*D37/100</f>
        <v>96850</v>
      </c>
      <c r="D43" s="11"/>
      <c r="E43" s="11"/>
      <c r="F43" s="11"/>
      <c r="G43" s="11"/>
      <c r="H43" s="22">
        <f>C43</f>
        <v>96850</v>
      </c>
    </row>
    <row r="44" spans="1:8">
      <c r="B44" s="19">
        <v>1</v>
      </c>
      <c r="C44" s="11"/>
      <c r="D44" s="21">
        <f>D36</f>
        <v>100000</v>
      </c>
      <c r="E44" s="21">
        <f>D44*$D$39</f>
        <v>8000</v>
      </c>
      <c r="F44" s="21">
        <f>D36/D38</f>
        <v>25000</v>
      </c>
      <c r="G44" s="181">
        <f>E44+F44</f>
        <v>33000</v>
      </c>
      <c r="H44" s="21">
        <f>-G44</f>
        <v>-33000</v>
      </c>
    </row>
    <row r="45" spans="1:8">
      <c r="B45" s="19">
        <v>2</v>
      </c>
      <c r="C45" s="11"/>
      <c r="D45" s="21">
        <f>D44-F44</f>
        <v>75000</v>
      </c>
      <c r="E45" s="21">
        <f t="shared" ref="E45:E47" si="5">D45*$D$39</f>
        <v>6000</v>
      </c>
      <c r="F45" s="21">
        <f>F44</f>
        <v>25000</v>
      </c>
      <c r="G45" s="181">
        <f>E45+F45</f>
        <v>31000</v>
      </c>
      <c r="H45" s="21">
        <f t="shared" ref="H45:H47" si="6">-G45</f>
        <v>-31000</v>
      </c>
    </row>
    <row r="46" spans="1:8">
      <c r="B46" s="19">
        <v>3</v>
      </c>
      <c r="C46" s="11"/>
      <c r="D46" s="21">
        <f t="shared" ref="D46:D48" si="7">D45-F45</f>
        <v>50000</v>
      </c>
      <c r="E46" s="21">
        <f t="shared" si="5"/>
        <v>4000</v>
      </c>
      <c r="F46" s="21">
        <f t="shared" ref="F46:F47" si="8">F45</f>
        <v>25000</v>
      </c>
      <c r="G46" s="181">
        <f>E46+F46</f>
        <v>29000</v>
      </c>
      <c r="H46" s="21">
        <f t="shared" si="6"/>
        <v>-29000</v>
      </c>
    </row>
    <row r="47" spans="1:8">
      <c r="B47" s="19">
        <v>4</v>
      </c>
      <c r="C47" s="11"/>
      <c r="D47" s="21">
        <f t="shared" si="7"/>
        <v>25000</v>
      </c>
      <c r="E47" s="21">
        <f t="shared" si="5"/>
        <v>2000</v>
      </c>
      <c r="F47" s="21">
        <f t="shared" si="8"/>
        <v>25000</v>
      </c>
      <c r="G47" s="181">
        <f>E47+F47</f>
        <v>27000</v>
      </c>
      <c r="H47" s="21">
        <f t="shared" si="6"/>
        <v>-27000</v>
      </c>
    </row>
    <row r="48" spans="1:8">
      <c r="B48" s="20">
        <v>5</v>
      </c>
      <c r="C48" s="58"/>
      <c r="D48" s="32">
        <f t="shared" si="7"/>
        <v>0</v>
      </c>
      <c r="E48" s="58"/>
      <c r="F48" s="58"/>
      <c r="G48" s="58"/>
      <c r="H48" s="58"/>
    </row>
    <row r="50" spans="1:8" ht="15" thickBot="1"/>
    <row r="51" spans="1:8" ht="15" thickBot="1">
      <c r="E51" t="s">
        <v>64</v>
      </c>
      <c r="H51" s="62">
        <f>IRR(H43:H47)</f>
        <v>9.5048045274462992E-2</v>
      </c>
    </row>
    <row r="54" spans="1:8" ht="18">
      <c r="A54" s="43" t="s">
        <v>187</v>
      </c>
    </row>
    <row r="55" spans="1:8">
      <c r="A55" t="s">
        <v>186</v>
      </c>
    </row>
    <row r="56" spans="1:8">
      <c r="H56" s="50"/>
    </row>
    <row r="57" spans="1:8">
      <c r="B57" t="s">
        <v>67</v>
      </c>
      <c r="D57" s="42">
        <v>0.06</v>
      </c>
      <c r="E57" t="s">
        <v>22</v>
      </c>
    </row>
    <row r="58" spans="1:8">
      <c r="B58" t="s">
        <v>19</v>
      </c>
      <c r="D58" s="60">
        <v>20</v>
      </c>
      <c r="E58" t="s">
        <v>21</v>
      </c>
    </row>
    <row r="59" spans="1:8">
      <c r="B59" t="s">
        <v>17</v>
      </c>
      <c r="D59" s="2">
        <v>107991</v>
      </c>
      <c r="E59" t="s">
        <v>21</v>
      </c>
      <c r="F59" t="s">
        <v>73</v>
      </c>
      <c r="G59" s="44">
        <v>92.6</v>
      </c>
    </row>
    <row r="60" spans="1:8">
      <c r="B60" t="s">
        <v>68</v>
      </c>
      <c r="D60" s="2">
        <v>100000</v>
      </c>
      <c r="E60" t="s">
        <v>20</v>
      </c>
    </row>
    <row r="61" spans="1:8">
      <c r="B61" t="s">
        <v>74</v>
      </c>
    </row>
    <row r="63" spans="1:8" ht="15.6">
      <c r="B63" t="s">
        <v>65</v>
      </c>
      <c r="F63" s="63">
        <f>D59*(D57/((1-(1+D57)^-D58)))</f>
        <v>9415.14749248716</v>
      </c>
    </row>
    <row r="64" spans="1:8">
      <c r="B64" t="s">
        <v>104</v>
      </c>
    </row>
    <row r="66" spans="2:6">
      <c r="B66" t="s">
        <v>66</v>
      </c>
    </row>
    <row r="68" spans="2:6" ht="15.6">
      <c r="F68" s="64">
        <f>PMT(D57,D58,D59                                )</f>
        <v>-9415.14749248716</v>
      </c>
    </row>
    <row r="69" spans="2:6">
      <c r="C69" s="61"/>
      <c r="F69" t="s">
        <v>70</v>
      </c>
    </row>
    <row r="70" spans="2:6">
      <c r="F70" t="s">
        <v>71</v>
      </c>
    </row>
    <row r="71" spans="2:6">
      <c r="F71" t="s">
        <v>72</v>
      </c>
    </row>
    <row r="80" spans="2:6">
      <c r="B80" s="59"/>
    </row>
    <row r="84" spans="2:7">
      <c r="B84" t="s">
        <v>69</v>
      </c>
    </row>
    <row r="85" spans="2:7">
      <c r="G85" s="44"/>
    </row>
    <row r="86" spans="2:7" ht="15.6">
      <c r="F86" s="65">
        <f xml:space="preserve"> RATE(D58, F68, D60                                     )</f>
        <v>6.9670703333927858E-2</v>
      </c>
    </row>
    <row r="91" spans="2:7">
      <c r="B91" t="s">
        <v>106</v>
      </c>
    </row>
    <row r="101" spans="1:6" ht="18">
      <c r="A101" s="43" t="s">
        <v>188</v>
      </c>
    </row>
    <row r="103" spans="1:6">
      <c r="B103" t="s">
        <v>1</v>
      </c>
      <c r="D103" s="162">
        <v>0.04</v>
      </c>
      <c r="E103" t="s">
        <v>22</v>
      </c>
    </row>
    <row r="104" spans="1:6">
      <c r="B104" t="s">
        <v>74</v>
      </c>
    </row>
    <row r="105" spans="1:6">
      <c r="B105" t="s">
        <v>19</v>
      </c>
      <c r="D105">
        <v>3</v>
      </c>
      <c r="E105" t="s">
        <v>21</v>
      </c>
    </row>
    <row r="106" spans="1:6">
      <c r="B106" t="s">
        <v>68</v>
      </c>
      <c r="D106" s="2">
        <v>1000</v>
      </c>
      <c r="E106" t="s">
        <v>20</v>
      </c>
    </row>
    <row r="107" spans="1:6">
      <c r="B107" t="s">
        <v>75</v>
      </c>
      <c r="D107">
        <v>96</v>
      </c>
    </row>
    <row r="108" spans="1:6">
      <c r="B108" t="s">
        <v>17</v>
      </c>
      <c r="D108" s="44">
        <f>D106/(D107/100)</f>
        <v>1041.6666666666667</v>
      </c>
    </row>
    <row r="110" spans="1:6" ht="15.6">
      <c r="B110" s="47" t="s">
        <v>76</v>
      </c>
      <c r="F110" s="66">
        <f>PMT(D103,D105,D108)</f>
        <v>-375.3630616777719</v>
      </c>
    </row>
    <row r="111" spans="1:6">
      <c r="B111" t="s">
        <v>77</v>
      </c>
    </row>
    <row r="113" spans="1:7" ht="15.6">
      <c r="B113" t="s">
        <v>78</v>
      </c>
      <c r="F113" s="191">
        <f xml:space="preserve">  RATE(D105,F110,D106)</f>
        <v>6.1809661167636684E-2</v>
      </c>
    </row>
    <row r="115" spans="1:7">
      <c r="A115" t="s">
        <v>189</v>
      </c>
    </row>
    <row r="116" spans="1:7">
      <c r="B116" s="67" t="s">
        <v>79</v>
      </c>
    </row>
    <row r="118" spans="1:7">
      <c r="B118" s="73" t="s">
        <v>3</v>
      </c>
      <c r="C118" s="73" t="s">
        <v>80</v>
      </c>
      <c r="D118" s="73" t="s">
        <v>5</v>
      </c>
      <c r="E118" s="73" t="s">
        <v>1</v>
      </c>
      <c r="F118" s="73" t="s">
        <v>8</v>
      </c>
      <c r="G118" s="73" t="s">
        <v>82</v>
      </c>
    </row>
    <row r="119" spans="1:7">
      <c r="B119" s="20"/>
      <c r="C119" s="20" t="s">
        <v>81</v>
      </c>
      <c r="D119" s="20"/>
      <c r="E119" s="96">
        <v>0.04</v>
      </c>
      <c r="F119" s="20"/>
      <c r="G119" s="20" t="s">
        <v>83</v>
      </c>
    </row>
    <row r="120" spans="1:7">
      <c r="B120" s="19">
        <v>1</v>
      </c>
      <c r="C120" s="17">
        <f>D108</f>
        <v>1041.6666666666667</v>
      </c>
      <c r="D120" s="74">
        <f xml:space="preserve">    -$F$110</f>
        <v>375.3630616777719</v>
      </c>
      <c r="E120" s="74">
        <f>$D$103*$C120</f>
        <v>41.666666666666671</v>
      </c>
      <c r="F120" s="74">
        <f>D120-E120</f>
        <v>333.69639501110521</v>
      </c>
      <c r="G120" s="22">
        <f>C120-F120</f>
        <v>707.97027165556153</v>
      </c>
    </row>
    <row r="121" spans="1:7">
      <c r="B121" s="19">
        <v>2</v>
      </c>
      <c r="C121" s="22">
        <f>G120</f>
        <v>707.97027165556153</v>
      </c>
      <c r="D121" s="74">
        <f t="shared" ref="D121:D122" si="9" xml:space="preserve">    -$F$110</f>
        <v>375.3630616777719</v>
      </c>
      <c r="E121" s="74">
        <f t="shared" ref="E121:E122" si="10">$D$103*$C121</f>
        <v>28.318810866222464</v>
      </c>
      <c r="F121" s="74">
        <f t="shared" ref="F121:F122" si="11">D121-E121</f>
        <v>347.04425081154943</v>
      </c>
      <c r="G121" s="22">
        <f>C121-F121</f>
        <v>360.9260208440121</v>
      </c>
    </row>
    <row r="122" spans="1:7">
      <c r="B122" s="20">
        <v>3</v>
      </c>
      <c r="C122" s="23">
        <f>G121</f>
        <v>360.9260208440121</v>
      </c>
      <c r="D122" s="75">
        <f t="shared" si="9"/>
        <v>375.3630616777719</v>
      </c>
      <c r="E122" s="75">
        <f t="shared" si="10"/>
        <v>14.437040833760484</v>
      </c>
      <c r="F122" s="75">
        <f t="shared" si="11"/>
        <v>360.92602084401142</v>
      </c>
      <c r="G122" s="193">
        <f>C122-F122</f>
        <v>6.8212102632969618E-13</v>
      </c>
    </row>
    <row r="123" spans="1:7">
      <c r="B123" s="68" t="s">
        <v>84</v>
      </c>
      <c r="C123" s="69"/>
      <c r="D123" s="69"/>
      <c r="E123" s="70">
        <f>SUM(E120:E122)</f>
        <v>84.422518366649626</v>
      </c>
      <c r="F123" s="71">
        <f>SUM(F120:F122)</f>
        <v>1041.6666666666661</v>
      </c>
      <c r="G123" s="72"/>
    </row>
    <row r="125" spans="1:7">
      <c r="B125" s="67" t="s">
        <v>105</v>
      </c>
    </row>
    <row r="127" spans="1:7">
      <c r="B127" s="73" t="s">
        <v>3</v>
      </c>
      <c r="C127" s="73" t="s">
        <v>80</v>
      </c>
      <c r="D127" s="73" t="s">
        <v>5</v>
      </c>
      <c r="E127" s="73" t="s">
        <v>1</v>
      </c>
      <c r="F127" s="73" t="s">
        <v>8</v>
      </c>
      <c r="G127" s="73" t="s">
        <v>82</v>
      </c>
    </row>
    <row r="128" spans="1:7">
      <c r="B128" s="20"/>
      <c r="C128" s="20" t="s">
        <v>81</v>
      </c>
      <c r="D128" s="20"/>
      <c r="E128" s="97">
        <v>6.1800000000000001E-2</v>
      </c>
      <c r="F128" s="20"/>
      <c r="G128" s="20" t="s">
        <v>83</v>
      </c>
    </row>
    <row r="129" spans="2:7">
      <c r="B129" s="19">
        <v>1</v>
      </c>
      <c r="C129" s="17">
        <f>D106</f>
        <v>1000</v>
      </c>
      <c r="D129" s="74">
        <f xml:space="preserve">    -$F$110</f>
        <v>375.3630616777719</v>
      </c>
      <c r="E129" s="74">
        <f>$F$113*$C129</f>
        <v>61.809661167636683</v>
      </c>
      <c r="F129" s="74">
        <f>D129-E129</f>
        <v>313.55340051013519</v>
      </c>
      <c r="G129" s="22">
        <f>C129-F129</f>
        <v>686.44659948986487</v>
      </c>
    </row>
    <row r="130" spans="2:7">
      <c r="B130" s="19">
        <v>2</v>
      </c>
      <c r="C130" s="22">
        <f>G129</f>
        <v>686.44659948986487</v>
      </c>
      <c r="D130" s="74">
        <f t="shared" ref="D130:D131" si="12" xml:space="preserve">    -$F$110</f>
        <v>375.3630616777719</v>
      </c>
      <c r="E130" s="74">
        <f t="shared" ref="E130:E131" si="13">$F$113*$C130</f>
        <v>42.429031724144949</v>
      </c>
      <c r="F130" s="74">
        <f t="shared" ref="F130:F131" si="14">D130-E130</f>
        <v>332.93402995362692</v>
      </c>
      <c r="G130" s="22">
        <f t="shared" ref="G130:G131" si="15">C130-F130</f>
        <v>353.51256953623795</v>
      </c>
    </row>
    <row r="131" spans="2:7">
      <c r="B131" s="20">
        <v>3</v>
      </c>
      <c r="C131" s="23">
        <f>G130</f>
        <v>353.51256953623795</v>
      </c>
      <c r="D131" s="75">
        <f t="shared" si="12"/>
        <v>375.3630616777719</v>
      </c>
      <c r="E131" s="74">
        <f t="shared" si="13"/>
        <v>21.850492141535469</v>
      </c>
      <c r="F131" s="74">
        <f t="shared" si="14"/>
        <v>353.51256953623641</v>
      </c>
      <c r="G131" s="194">
        <f t="shared" si="15"/>
        <v>1.5347723092418164E-12</v>
      </c>
    </row>
    <row r="132" spans="2:7">
      <c r="B132" s="68" t="s">
        <v>84</v>
      </c>
      <c r="C132" s="69"/>
      <c r="D132" s="69"/>
      <c r="E132" s="70">
        <f>SUM(E129:E131)</f>
        <v>126.08918503331709</v>
      </c>
      <c r="F132" s="71">
        <f>SUM(F129:F131)</f>
        <v>999.99999999999864</v>
      </c>
      <c r="G132" s="7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Normal="100" workbookViewId="0"/>
  </sheetViews>
  <sheetFormatPr defaultRowHeight="14.4"/>
  <cols>
    <col min="2" max="3" width="9.33203125" bestFit="1" customWidth="1"/>
    <col min="4" max="4" width="10.88671875" bestFit="1" customWidth="1"/>
    <col min="5" max="5" width="12.109375" bestFit="1" customWidth="1"/>
    <col min="6" max="6" width="9.88671875" customWidth="1"/>
    <col min="7" max="7" width="10.109375" bestFit="1" customWidth="1"/>
    <col min="8" max="8" width="9.5546875" bestFit="1" customWidth="1"/>
    <col min="9" max="9" width="11.109375" customWidth="1"/>
  </cols>
  <sheetData>
    <row r="1" spans="1:6" ht="21">
      <c r="A1" s="25" t="s">
        <v>190</v>
      </c>
      <c r="C1" s="1"/>
    </row>
    <row r="3" spans="1:6" ht="18">
      <c r="A3" s="43" t="s">
        <v>191</v>
      </c>
    </row>
    <row r="4" spans="1:6" ht="15.6">
      <c r="A4" s="101" t="s">
        <v>168</v>
      </c>
    </row>
    <row r="5" spans="1:6" ht="15.6">
      <c r="A5" s="47" t="s">
        <v>150</v>
      </c>
      <c r="D5" s="49">
        <v>0.107</v>
      </c>
    </row>
    <row r="6" spans="1:6" ht="15.6">
      <c r="A6" s="47" t="s">
        <v>110</v>
      </c>
      <c r="D6" s="42">
        <v>0.32</v>
      </c>
    </row>
    <row r="7" spans="1:6">
      <c r="A7" t="s">
        <v>152</v>
      </c>
      <c r="D7" s="42">
        <f>1-D6</f>
        <v>0.67999999999999994</v>
      </c>
    </row>
    <row r="8" spans="1:6" ht="18">
      <c r="A8" s="47" t="s">
        <v>151</v>
      </c>
      <c r="C8" s="49"/>
      <c r="D8" s="207">
        <f>D5*D7</f>
        <v>7.2759999999999991E-2</v>
      </c>
    </row>
    <row r="10" spans="1:6" ht="18">
      <c r="A10" s="43" t="s">
        <v>192</v>
      </c>
    </row>
    <row r="12" spans="1:6" ht="15.6">
      <c r="B12" s="88" t="s">
        <v>85</v>
      </c>
      <c r="C12" s="88"/>
      <c r="D12" s="89">
        <v>100000</v>
      </c>
      <c r="E12" s="88" t="s">
        <v>20</v>
      </c>
      <c r="F12" s="83"/>
    </row>
    <row r="13" spans="1:6" ht="15.6">
      <c r="B13" s="88" t="s">
        <v>23</v>
      </c>
      <c r="C13" s="88"/>
      <c r="D13" s="89">
        <v>95000</v>
      </c>
      <c r="E13" s="88" t="s">
        <v>20</v>
      </c>
      <c r="F13" s="83"/>
    </row>
    <row r="14" spans="1:6" ht="15.6">
      <c r="B14" s="88" t="s">
        <v>1</v>
      </c>
      <c r="C14" s="88"/>
      <c r="D14" s="90">
        <v>0.05</v>
      </c>
      <c r="E14" s="88" t="s">
        <v>22</v>
      </c>
      <c r="F14" s="83"/>
    </row>
    <row r="15" spans="1:6" ht="15.6">
      <c r="B15" s="88" t="s">
        <v>19</v>
      </c>
      <c r="C15" s="88"/>
      <c r="D15" s="91">
        <v>5</v>
      </c>
      <c r="E15" s="88" t="s">
        <v>21</v>
      </c>
      <c r="F15" s="83"/>
    </row>
    <row r="16" spans="1:6" ht="15.6">
      <c r="B16" s="88" t="s">
        <v>86</v>
      </c>
      <c r="C16" s="88"/>
      <c r="D16" s="90">
        <v>0.32</v>
      </c>
      <c r="E16" s="88"/>
      <c r="F16" s="83"/>
    </row>
    <row r="18" spans="1:9">
      <c r="B18" s="73" t="s">
        <v>3</v>
      </c>
      <c r="C18" s="73" t="s">
        <v>23</v>
      </c>
      <c r="D18" s="73" t="s">
        <v>80</v>
      </c>
      <c r="E18" s="73" t="s">
        <v>1</v>
      </c>
      <c r="F18" s="73" t="s">
        <v>1</v>
      </c>
      <c r="G18" s="73" t="s">
        <v>8</v>
      </c>
      <c r="H18" s="73" t="s">
        <v>5</v>
      </c>
      <c r="I18" s="26" t="s">
        <v>89</v>
      </c>
    </row>
    <row r="19" spans="1:9">
      <c r="B19" s="58"/>
      <c r="C19" s="20"/>
      <c r="D19" s="20" t="s">
        <v>81</v>
      </c>
      <c r="E19" s="20" t="s">
        <v>87</v>
      </c>
      <c r="F19" s="20" t="s">
        <v>88</v>
      </c>
      <c r="G19" s="20"/>
      <c r="H19" s="20" t="s">
        <v>88</v>
      </c>
      <c r="I19" s="92" t="s">
        <v>90</v>
      </c>
    </row>
    <row r="20" spans="1:9">
      <c r="B20" s="19">
        <v>0</v>
      </c>
      <c r="C20" s="181">
        <f>D13</f>
        <v>95000</v>
      </c>
      <c r="D20" s="11"/>
      <c r="E20" s="11"/>
      <c r="F20" s="11"/>
      <c r="G20" s="11"/>
      <c r="H20" s="11"/>
      <c r="I20" s="21">
        <f>C20</f>
        <v>95000</v>
      </c>
    </row>
    <row r="21" spans="1:9">
      <c r="B21" s="19">
        <v>1</v>
      </c>
      <c r="C21" s="11"/>
      <c r="D21" s="78">
        <f>D12</f>
        <v>100000</v>
      </c>
      <c r="E21" s="78">
        <f>D21*$D$14</f>
        <v>5000</v>
      </c>
      <c r="F21" s="78">
        <f>E21*(1-$D$16)</f>
        <v>3399.9999999999995</v>
      </c>
      <c r="G21" s="11">
        <v>0</v>
      </c>
      <c r="H21" s="181">
        <f xml:space="preserve">  -  (F21+G21)</f>
        <v>-3399.9999999999995</v>
      </c>
      <c r="I21" s="21">
        <f>H21</f>
        <v>-3399.9999999999995</v>
      </c>
    </row>
    <row r="22" spans="1:9">
      <c r="B22" s="19">
        <v>2</v>
      </c>
      <c r="C22" s="11"/>
      <c r="D22" s="21">
        <f>D21-G21</f>
        <v>100000</v>
      </c>
      <c r="E22" s="78">
        <f t="shared" ref="E22:E25" si="0">D22*$D$14</f>
        <v>5000</v>
      </c>
      <c r="F22" s="78">
        <f t="shared" ref="F22:F25" si="1">E22*(1-$D$16)</f>
        <v>3399.9999999999995</v>
      </c>
      <c r="G22" s="11">
        <v>0</v>
      </c>
      <c r="H22" s="181">
        <f xml:space="preserve">  -  (F22+G22)</f>
        <v>-3399.9999999999995</v>
      </c>
      <c r="I22" s="21">
        <f>H22</f>
        <v>-3399.9999999999995</v>
      </c>
    </row>
    <row r="23" spans="1:9">
      <c r="B23" s="19">
        <v>3</v>
      </c>
      <c r="C23" s="11"/>
      <c r="D23" s="21">
        <f t="shared" ref="D23:D25" si="2">D22-G22</f>
        <v>100000</v>
      </c>
      <c r="E23" s="78">
        <f t="shared" si="0"/>
        <v>5000</v>
      </c>
      <c r="F23" s="78">
        <f t="shared" si="1"/>
        <v>3399.9999999999995</v>
      </c>
      <c r="G23" s="11">
        <v>0</v>
      </c>
      <c r="H23" s="181">
        <f xml:space="preserve">  -  (F23+G23)</f>
        <v>-3399.9999999999995</v>
      </c>
      <c r="I23" s="21">
        <f>H23</f>
        <v>-3399.9999999999995</v>
      </c>
    </row>
    <row r="24" spans="1:9">
      <c r="B24" s="19">
        <v>4</v>
      </c>
      <c r="C24" s="11"/>
      <c r="D24" s="21">
        <f t="shared" si="2"/>
        <v>100000</v>
      </c>
      <c r="E24" s="78">
        <f t="shared" si="0"/>
        <v>5000</v>
      </c>
      <c r="F24" s="78">
        <f t="shared" si="1"/>
        <v>3399.9999999999995</v>
      </c>
      <c r="G24" s="11">
        <v>0</v>
      </c>
      <c r="H24" s="181">
        <f xml:space="preserve">  -  (F24+G24)</f>
        <v>-3399.9999999999995</v>
      </c>
      <c r="I24" s="21">
        <f>H24</f>
        <v>-3399.9999999999995</v>
      </c>
    </row>
    <row r="25" spans="1:9">
      <c r="B25" s="20">
        <v>5</v>
      </c>
      <c r="C25" s="58"/>
      <c r="D25" s="32">
        <f t="shared" si="2"/>
        <v>100000</v>
      </c>
      <c r="E25" s="79">
        <f t="shared" si="0"/>
        <v>5000</v>
      </c>
      <c r="F25" s="79">
        <f t="shared" si="1"/>
        <v>3399.9999999999995</v>
      </c>
      <c r="G25" s="32">
        <f>D25</f>
        <v>100000</v>
      </c>
      <c r="H25" s="182">
        <f xml:space="preserve">  -  (F25+G25)</f>
        <v>-103400</v>
      </c>
      <c r="I25" s="32">
        <f>H25</f>
        <v>-103400</v>
      </c>
    </row>
    <row r="27" spans="1:9" ht="18">
      <c r="G27" s="76" t="s">
        <v>29</v>
      </c>
      <c r="I27" s="80">
        <f>IRR(I20:I25)</f>
        <v>4.5402355213716647E-2</v>
      </c>
    </row>
    <row r="29" spans="1:9" ht="18">
      <c r="A29" s="43" t="s">
        <v>193</v>
      </c>
    </row>
    <row r="30" spans="1:9">
      <c r="B30" t="s">
        <v>91</v>
      </c>
    </row>
    <row r="32" spans="1:9">
      <c r="B32" s="73" t="s">
        <v>3</v>
      </c>
      <c r="C32" s="73" t="s">
        <v>23</v>
      </c>
      <c r="D32" s="73" t="s">
        <v>80</v>
      </c>
      <c r="E32" s="73" t="s">
        <v>1</v>
      </c>
      <c r="F32" s="73" t="s">
        <v>1</v>
      </c>
      <c r="G32" s="73" t="s">
        <v>8</v>
      </c>
      <c r="H32" s="73" t="s">
        <v>5</v>
      </c>
      <c r="I32" s="26" t="s">
        <v>89</v>
      </c>
    </row>
    <row r="33" spans="1:14">
      <c r="B33" s="58"/>
      <c r="C33" s="20"/>
      <c r="D33" s="20" t="s">
        <v>81</v>
      </c>
      <c r="E33" s="20" t="s">
        <v>87</v>
      </c>
      <c r="F33" s="20" t="s">
        <v>88</v>
      </c>
      <c r="G33" s="20"/>
      <c r="H33" s="20" t="s">
        <v>88</v>
      </c>
      <c r="I33" s="92" t="s">
        <v>90</v>
      </c>
    </row>
    <row r="34" spans="1:14">
      <c r="B34" s="19">
        <v>0</v>
      </c>
      <c r="C34" s="181">
        <f>D13</f>
        <v>95000</v>
      </c>
      <c r="D34" s="11"/>
      <c r="E34" s="11"/>
      <c r="F34" s="11"/>
      <c r="G34" s="77"/>
      <c r="H34" s="11"/>
      <c r="I34" s="21">
        <f>C34</f>
        <v>95000</v>
      </c>
    </row>
    <row r="35" spans="1:14">
      <c r="B35" s="19">
        <v>1</v>
      </c>
      <c r="C35" s="11"/>
      <c r="D35" s="78">
        <f>D12</f>
        <v>100000</v>
      </c>
      <c r="E35" s="78">
        <f>D35*$D$14</f>
        <v>5000</v>
      </c>
      <c r="F35" s="78">
        <f>E35*(1-$D$16)</f>
        <v>3399.9999999999995</v>
      </c>
      <c r="G35" s="17">
        <f>D12/D15</f>
        <v>20000</v>
      </c>
      <c r="H35" s="181">
        <f xml:space="preserve">  -  (F35+G35)</f>
        <v>-23400</v>
      </c>
      <c r="I35" s="21">
        <f>H35</f>
        <v>-23400</v>
      </c>
    </row>
    <row r="36" spans="1:14">
      <c r="B36" s="19">
        <v>2</v>
      </c>
      <c r="C36" s="11"/>
      <c r="D36" s="21">
        <f>D35-G35</f>
        <v>80000</v>
      </c>
      <c r="E36" s="78">
        <f t="shared" ref="E36:E39" si="3">D36*$D$14</f>
        <v>4000</v>
      </c>
      <c r="F36" s="78">
        <f t="shared" ref="F36:F39" si="4">E36*(1-$D$16)</f>
        <v>2719.9999999999995</v>
      </c>
      <c r="G36" s="17">
        <f>G35</f>
        <v>20000</v>
      </c>
      <c r="H36" s="181">
        <f xml:space="preserve">  -  (F36+G36)</f>
        <v>-22720</v>
      </c>
      <c r="I36" s="21">
        <f>H36</f>
        <v>-22720</v>
      </c>
    </row>
    <row r="37" spans="1:14">
      <c r="B37" s="19">
        <v>3</v>
      </c>
      <c r="C37" s="11"/>
      <c r="D37" s="21">
        <f t="shared" ref="D37:D39" si="5">D36-G36</f>
        <v>60000</v>
      </c>
      <c r="E37" s="78">
        <f t="shared" si="3"/>
        <v>3000</v>
      </c>
      <c r="F37" s="78">
        <f t="shared" si="4"/>
        <v>2039.9999999999998</v>
      </c>
      <c r="G37" s="17">
        <f t="shared" ref="G37:G38" si="6">G36</f>
        <v>20000</v>
      </c>
      <c r="H37" s="181">
        <f xml:space="preserve">  -  (F37+G37)</f>
        <v>-22040</v>
      </c>
      <c r="I37" s="21">
        <f>H37</f>
        <v>-22040</v>
      </c>
    </row>
    <row r="38" spans="1:14">
      <c r="B38" s="19">
        <v>4</v>
      </c>
      <c r="C38" s="11"/>
      <c r="D38" s="21">
        <f t="shared" si="5"/>
        <v>40000</v>
      </c>
      <c r="E38" s="78">
        <f t="shared" si="3"/>
        <v>2000</v>
      </c>
      <c r="F38" s="78">
        <f t="shared" si="4"/>
        <v>1359.9999999999998</v>
      </c>
      <c r="G38" s="17">
        <f t="shared" si="6"/>
        <v>20000</v>
      </c>
      <c r="H38" s="181">
        <f xml:space="preserve">  -  (F38+G38)</f>
        <v>-21360</v>
      </c>
      <c r="I38" s="21">
        <f>H38</f>
        <v>-21360</v>
      </c>
    </row>
    <row r="39" spans="1:14">
      <c r="B39" s="20">
        <v>5</v>
      </c>
      <c r="C39" s="58"/>
      <c r="D39" s="32">
        <f t="shared" si="5"/>
        <v>20000</v>
      </c>
      <c r="E39" s="79">
        <f t="shared" si="3"/>
        <v>1000</v>
      </c>
      <c r="F39" s="79">
        <f t="shared" si="4"/>
        <v>679.99999999999989</v>
      </c>
      <c r="G39" s="18">
        <f>G38</f>
        <v>20000</v>
      </c>
      <c r="H39" s="182">
        <f xml:space="preserve">  -  (F39+G39)</f>
        <v>-20680</v>
      </c>
      <c r="I39" s="32">
        <f>H39</f>
        <v>-20680</v>
      </c>
    </row>
    <row r="41" spans="1:14" s="1" customFormat="1" ht="21">
      <c r="G41" s="1" t="s">
        <v>29</v>
      </c>
      <c r="I41" s="81">
        <f>IRR(I34:I39)</f>
        <v>5.2752633392458712E-2</v>
      </c>
      <c r="N41" s="82"/>
    </row>
    <row r="43" spans="1:14" ht="18">
      <c r="A43" s="43" t="s">
        <v>194</v>
      </c>
    </row>
    <row r="44" spans="1:14">
      <c r="B44" t="s">
        <v>91</v>
      </c>
      <c r="M44" t="s">
        <v>169</v>
      </c>
    </row>
    <row r="46" spans="1:14">
      <c r="B46" s="73" t="s">
        <v>3</v>
      </c>
      <c r="C46" s="73" t="s">
        <v>23</v>
      </c>
      <c r="D46" s="73" t="s">
        <v>80</v>
      </c>
      <c r="E46" s="84" t="s">
        <v>5</v>
      </c>
      <c r="F46" s="73" t="s">
        <v>1</v>
      </c>
      <c r="G46" s="73" t="s">
        <v>1</v>
      </c>
      <c r="H46" s="73" t="s">
        <v>8</v>
      </c>
      <c r="I46" s="73" t="s">
        <v>5</v>
      </c>
      <c r="J46" s="26" t="s">
        <v>89</v>
      </c>
    </row>
    <row r="47" spans="1:14">
      <c r="B47" s="58"/>
      <c r="C47" s="20"/>
      <c r="D47" s="20" t="s">
        <v>81</v>
      </c>
      <c r="E47" s="20" t="s">
        <v>87</v>
      </c>
      <c r="F47" s="20" t="s">
        <v>87</v>
      </c>
      <c r="G47" s="20" t="s">
        <v>88</v>
      </c>
      <c r="H47" s="20"/>
      <c r="I47" s="20" t="s">
        <v>88</v>
      </c>
      <c r="J47" s="92" t="s">
        <v>90</v>
      </c>
    </row>
    <row r="48" spans="1:14">
      <c r="B48" s="19">
        <v>0</v>
      </c>
      <c r="C48" s="181">
        <f>D13</f>
        <v>95000</v>
      </c>
      <c r="D48" s="11"/>
      <c r="E48" s="85"/>
      <c r="F48" s="77"/>
      <c r="G48" s="77"/>
      <c r="H48" s="77"/>
      <c r="I48" s="11"/>
      <c r="J48" s="21">
        <f>C48</f>
        <v>95000</v>
      </c>
    </row>
    <row r="49" spans="2:10">
      <c r="B49" s="19">
        <v>1</v>
      </c>
      <c r="C49" s="11"/>
      <c r="D49" s="78">
        <f>D12</f>
        <v>100000</v>
      </c>
      <c r="E49" s="35">
        <f xml:space="preserve"> - PMT(D14,D15,D12)</f>
        <v>23097.479812826805</v>
      </c>
      <c r="F49" s="78">
        <f>D49*$D$14</f>
        <v>5000</v>
      </c>
      <c r="G49" s="78">
        <f>F49*(1-$D$16)</f>
        <v>3399.9999999999995</v>
      </c>
      <c r="H49" s="17">
        <f>E49-F49</f>
        <v>18097.479812826805</v>
      </c>
      <c r="I49" s="181">
        <f xml:space="preserve">  -  (G49+H49)</f>
        <v>-21497.479812826805</v>
      </c>
      <c r="J49" s="21">
        <f>I49</f>
        <v>-21497.479812826805</v>
      </c>
    </row>
    <row r="50" spans="2:10">
      <c r="B50" s="19">
        <v>2</v>
      </c>
      <c r="C50" s="11"/>
      <c r="D50" s="21">
        <f>D49-H49</f>
        <v>81902.520187173199</v>
      </c>
      <c r="E50" s="86">
        <f>E49</f>
        <v>23097.479812826805</v>
      </c>
      <c r="F50" s="78">
        <f>D50*$D$14</f>
        <v>4095.1260093586602</v>
      </c>
      <c r="G50" s="78">
        <f t="shared" ref="G50:G52" si="7">F50*(1-$D$16)</f>
        <v>2784.6856863638886</v>
      </c>
      <c r="H50" s="17">
        <f>E50-F50</f>
        <v>19002.353803468144</v>
      </c>
      <c r="I50" s="181">
        <f xml:space="preserve">  -  (G50+H50)</f>
        <v>-21787.039489832034</v>
      </c>
      <c r="J50" s="21">
        <f>I50</f>
        <v>-21787.039489832034</v>
      </c>
    </row>
    <row r="51" spans="2:10">
      <c r="B51" s="19">
        <v>3</v>
      </c>
      <c r="C51" s="11"/>
      <c r="D51" s="21">
        <f>D50-H50</f>
        <v>62900.166383705058</v>
      </c>
      <c r="E51" s="86">
        <f t="shared" ref="E51:E53" si="8">E50</f>
        <v>23097.479812826805</v>
      </c>
      <c r="F51" s="78">
        <f t="shared" ref="F51:F53" si="9">D51*$D$14</f>
        <v>3145.0083191852532</v>
      </c>
      <c r="G51" s="78">
        <f t="shared" si="7"/>
        <v>2138.6056570459718</v>
      </c>
      <c r="H51" s="17">
        <f t="shared" ref="H51:H53" si="10">E51-F51</f>
        <v>19952.471493641551</v>
      </c>
      <c r="I51" s="181">
        <f xml:space="preserve">  -  (G51+H51)</f>
        <v>-22091.077150687524</v>
      </c>
      <c r="J51" s="21">
        <f>I51</f>
        <v>-22091.077150687524</v>
      </c>
    </row>
    <row r="52" spans="2:10">
      <c r="B52" s="19">
        <v>4</v>
      </c>
      <c r="C52" s="11"/>
      <c r="D52" s="21">
        <f>D51-H51</f>
        <v>42947.694890063503</v>
      </c>
      <c r="E52" s="86">
        <f t="shared" si="8"/>
        <v>23097.479812826805</v>
      </c>
      <c r="F52" s="78">
        <f t="shared" si="9"/>
        <v>2147.3847445031752</v>
      </c>
      <c r="G52" s="78">
        <f t="shared" si="7"/>
        <v>1460.2216262621589</v>
      </c>
      <c r="H52" s="17">
        <f t="shared" si="10"/>
        <v>20950.09506832363</v>
      </c>
      <c r="I52" s="181">
        <f xml:space="preserve">  -  (G52+H52)</f>
        <v>-22410.316694585788</v>
      </c>
      <c r="J52" s="21">
        <f>I52</f>
        <v>-22410.316694585788</v>
      </c>
    </row>
    <row r="53" spans="2:10">
      <c r="B53" s="20">
        <v>5</v>
      </c>
      <c r="C53" s="58"/>
      <c r="D53" s="32">
        <f>D52-H52</f>
        <v>21997.599821739874</v>
      </c>
      <c r="E53" s="87">
        <f t="shared" si="8"/>
        <v>23097.479812826805</v>
      </c>
      <c r="F53" s="79">
        <f t="shared" si="9"/>
        <v>1099.8799910869936</v>
      </c>
      <c r="G53" s="79">
        <f>F53*(1-$D$16)</f>
        <v>747.91839393915564</v>
      </c>
      <c r="H53" s="18">
        <f t="shared" si="10"/>
        <v>21997.599821739812</v>
      </c>
      <c r="I53" s="182">
        <f xml:space="preserve">  -  (G53+H53)</f>
        <v>-22745.518215678967</v>
      </c>
      <c r="J53" s="32">
        <f>I53</f>
        <v>-22745.518215678967</v>
      </c>
    </row>
    <row r="55" spans="2:10" ht="21">
      <c r="G55" s="1" t="s">
        <v>29</v>
      </c>
      <c r="H55" s="1"/>
      <c r="I55" s="80">
        <f>IRR(J48:J53)</f>
        <v>5.2173711913103382E-2</v>
      </c>
    </row>
  </sheetData>
  <pageMargins left="0.7" right="0.7" top="0.75" bottom="0.75" header="0.3" footer="0.3"/>
  <pageSetup paperSize="9" scale="86" orientation="portrait" horizontalDpi="4294967293" verticalDpi="0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Normal="100" workbookViewId="0"/>
  </sheetViews>
  <sheetFormatPr defaultRowHeight="14.4"/>
  <cols>
    <col min="2" max="2" width="10.109375" customWidth="1"/>
    <col min="3" max="3" width="12.109375" customWidth="1"/>
    <col min="4" max="4" width="10.109375" customWidth="1"/>
    <col min="6" max="7" width="12" bestFit="1" customWidth="1"/>
  </cols>
  <sheetData>
    <row r="1" spans="1:9" ht="23.4">
      <c r="A1" s="93" t="s">
        <v>166</v>
      </c>
    </row>
    <row r="2" spans="1:9" ht="21">
      <c r="A2" s="25" t="s">
        <v>167</v>
      </c>
    </row>
    <row r="4" spans="1:9" ht="21">
      <c r="A4" s="25" t="s">
        <v>0</v>
      </c>
      <c r="I4" s="12"/>
    </row>
    <row r="6" spans="1:9">
      <c r="A6" s="3" t="s">
        <v>1</v>
      </c>
      <c r="B6" s="177">
        <v>0.08</v>
      </c>
    </row>
    <row r="7" spans="1:9">
      <c r="A7" s="3" t="s">
        <v>2</v>
      </c>
      <c r="B7" s="2">
        <v>100000</v>
      </c>
    </row>
    <row r="8" spans="1:9">
      <c r="A8" s="3" t="s">
        <v>3</v>
      </c>
      <c r="B8">
        <v>10</v>
      </c>
    </row>
    <row r="9" spans="1:9">
      <c r="A9" s="5" t="s">
        <v>5</v>
      </c>
      <c r="B9" s="6">
        <f>PMT(B6,B8,B7)</f>
        <v>-14902.948869707536</v>
      </c>
    </row>
    <row r="11" spans="1:9">
      <c r="B11" s="7" t="s">
        <v>3</v>
      </c>
      <c r="C11" s="7" t="s">
        <v>6</v>
      </c>
      <c r="E11" s="24" t="s">
        <v>1</v>
      </c>
      <c r="F11" s="24" t="s">
        <v>4</v>
      </c>
    </row>
    <row r="12" spans="1:9">
      <c r="B12" s="19">
        <v>0</v>
      </c>
      <c r="C12" s="21">
        <f>B7</f>
        <v>100000</v>
      </c>
      <c r="E12" s="8">
        <v>0</v>
      </c>
      <c r="F12" s="13">
        <f>NPV(E12,$C$13:$C$22)+$B$7</f>
        <v>-49029.488697075314</v>
      </c>
    </row>
    <row r="13" spans="1:9">
      <c r="B13" s="19">
        <f>B12+1</f>
        <v>1</v>
      </c>
      <c r="C13" s="22">
        <f>$B$9</f>
        <v>-14902.948869707536</v>
      </c>
      <c r="E13" s="9">
        <f>E12+2%</f>
        <v>0.02</v>
      </c>
      <c r="F13" s="17">
        <f t="shared" ref="F13:F22" si="0">NPV(E13,$C$13:$C$22)+$B$7</f>
        <v>-33867.00506582958</v>
      </c>
    </row>
    <row r="14" spans="1:9">
      <c r="B14" s="19">
        <f t="shared" ref="B14:B22" si="1">B13+1</f>
        <v>2</v>
      </c>
      <c r="C14" s="22">
        <f t="shared" ref="C14:C22" si="2">$B$9</f>
        <v>-14902.948869707536</v>
      </c>
      <c r="E14" s="9">
        <f t="shared" ref="E14:E22" si="3">E13+2%</f>
        <v>0.04</v>
      </c>
      <c r="F14" s="17">
        <f t="shared" si="0"/>
        <v>-20876.265087254636</v>
      </c>
    </row>
    <row r="15" spans="1:9">
      <c r="B15" s="19">
        <f t="shared" si="1"/>
        <v>3</v>
      </c>
      <c r="C15" s="22">
        <f t="shared" si="2"/>
        <v>-14902.948869707536</v>
      </c>
      <c r="E15" s="9">
        <f t="shared" si="3"/>
        <v>0.06</v>
      </c>
      <c r="F15" s="17">
        <f t="shared" si="0"/>
        <v>-9687.0010038297187</v>
      </c>
    </row>
    <row r="16" spans="1:9">
      <c r="B16" s="19">
        <f t="shared" si="1"/>
        <v>4</v>
      </c>
      <c r="C16" s="22">
        <f t="shared" si="2"/>
        <v>-14902.948869707536</v>
      </c>
      <c r="E16" s="178">
        <f t="shared" si="3"/>
        <v>0.08</v>
      </c>
      <c r="F16" s="179">
        <f t="shared" si="0"/>
        <v>0</v>
      </c>
    </row>
    <row r="17" spans="1:6">
      <c r="B17" s="19">
        <f t="shared" si="1"/>
        <v>5</v>
      </c>
      <c r="C17" s="22">
        <f t="shared" si="2"/>
        <v>-14902.948869707536</v>
      </c>
      <c r="E17" s="9">
        <f t="shared" si="3"/>
        <v>0.1</v>
      </c>
      <c r="F17" s="17">
        <f t="shared" si="0"/>
        <v>8427.8305971963418</v>
      </c>
    </row>
    <row r="18" spans="1:6">
      <c r="B18" s="19">
        <f t="shared" si="1"/>
        <v>6</v>
      </c>
      <c r="C18" s="22">
        <f t="shared" si="2"/>
        <v>-14902.948869707536</v>
      </c>
      <c r="E18" s="9">
        <f t="shared" si="3"/>
        <v>0.12000000000000001</v>
      </c>
      <c r="F18" s="17">
        <f t="shared" si="0"/>
        <v>15795.015105148836</v>
      </c>
    </row>
    <row r="19" spans="1:6">
      <c r="B19" s="19">
        <f t="shared" si="1"/>
        <v>7</v>
      </c>
      <c r="C19" s="22">
        <f t="shared" si="2"/>
        <v>-14902.948869707536</v>
      </c>
      <c r="E19" s="9">
        <f t="shared" si="3"/>
        <v>0.14000000000000001</v>
      </c>
      <c r="F19" s="17">
        <f t="shared" si="0"/>
        <v>22264.495224805331</v>
      </c>
    </row>
    <row r="20" spans="1:6">
      <c r="B20" s="19">
        <f t="shared" si="1"/>
        <v>8</v>
      </c>
      <c r="C20" s="22">
        <f t="shared" si="2"/>
        <v>-14902.948869707536</v>
      </c>
      <c r="E20" s="9">
        <f t="shared" si="3"/>
        <v>0.16</v>
      </c>
      <c r="F20" s="17">
        <f t="shared" si="0"/>
        <v>27970.658012882792</v>
      </c>
    </row>
    <row r="21" spans="1:6">
      <c r="B21" s="19">
        <f t="shared" si="1"/>
        <v>9</v>
      </c>
      <c r="C21" s="22">
        <f t="shared" si="2"/>
        <v>-14902.948869707536</v>
      </c>
      <c r="E21" s="9">
        <f t="shared" si="3"/>
        <v>0.18</v>
      </c>
      <c r="F21" s="17">
        <f t="shared" si="0"/>
        <v>33024.861730688091</v>
      </c>
    </row>
    <row r="22" spans="1:6" ht="15" thickBot="1">
      <c r="B22" s="20">
        <f t="shared" si="1"/>
        <v>10</v>
      </c>
      <c r="C22" s="22">
        <f t="shared" si="2"/>
        <v>-14902.948869707536</v>
      </c>
      <c r="E22" s="10">
        <f t="shared" si="3"/>
        <v>0.19999999999999998</v>
      </c>
      <c r="F22" s="18">
        <f t="shared" si="0"/>
        <v>37519.80287136072</v>
      </c>
    </row>
    <row r="23" spans="1:6" ht="16.2" thickBot="1">
      <c r="A23" t="s">
        <v>16</v>
      </c>
      <c r="C23" s="175">
        <f>SUM(C13:C22)</f>
        <v>-149029.48869707531</v>
      </c>
    </row>
    <row r="25" spans="1:6" ht="21">
      <c r="A25" s="25" t="s">
        <v>7</v>
      </c>
    </row>
    <row r="27" spans="1:6">
      <c r="A27" s="3" t="s">
        <v>1</v>
      </c>
      <c r="B27" s="177">
        <f>B6</f>
        <v>0.08</v>
      </c>
    </row>
    <row r="28" spans="1:6">
      <c r="A28" s="3" t="s">
        <v>2</v>
      </c>
      <c r="B28" s="2">
        <f>B7</f>
        <v>100000</v>
      </c>
    </row>
    <row r="29" spans="1:6">
      <c r="A29" s="3" t="s">
        <v>3</v>
      </c>
      <c r="B29">
        <f>B8</f>
        <v>10</v>
      </c>
    </row>
    <row r="31" spans="1:6">
      <c r="B31" s="7" t="s">
        <v>3</v>
      </c>
      <c r="C31" s="7" t="s">
        <v>6</v>
      </c>
      <c r="E31" s="24" t="s">
        <v>1</v>
      </c>
      <c r="F31" s="26" t="s">
        <v>4</v>
      </c>
    </row>
    <row r="32" spans="1:6">
      <c r="B32" s="19">
        <v>0</v>
      </c>
      <c r="C32" s="21">
        <f>B28</f>
        <v>100000</v>
      </c>
      <c r="E32" s="27">
        <v>0</v>
      </c>
      <c r="F32" s="13">
        <f>NPV(E32,$C$33:$C$42)+$B$28</f>
        <v>-80000</v>
      </c>
    </row>
    <row r="33" spans="1:6">
      <c r="B33" s="19">
        <f>B32+1</f>
        <v>1</v>
      </c>
      <c r="C33" s="22">
        <f xml:space="preserve"> - $B$27*$B$28</f>
        <v>-8000</v>
      </c>
      <c r="E33" s="28">
        <f>E32+2%</f>
        <v>0.02</v>
      </c>
      <c r="F33" s="17">
        <f t="shared" ref="F33:F42" si="4">NPV(E33,$C$33:$C$42)+$B$28</f>
        <v>-53895.510037453438</v>
      </c>
    </row>
    <row r="34" spans="1:6">
      <c r="B34" s="19">
        <f t="shared" ref="B34:B42" si="5">B33+1</f>
        <v>2</v>
      </c>
      <c r="C34" s="22">
        <f t="shared" ref="C34:C41" si="6" xml:space="preserve"> - $B$27*$B$28</f>
        <v>-8000</v>
      </c>
      <c r="E34" s="28">
        <f t="shared" ref="E34:E42" si="7">E33+2%</f>
        <v>0.04</v>
      </c>
      <c r="F34" s="17">
        <f t="shared" si="4"/>
        <v>-32443.583117420058</v>
      </c>
    </row>
    <row r="35" spans="1:6">
      <c r="B35" s="19">
        <f t="shared" si="5"/>
        <v>3</v>
      </c>
      <c r="C35" s="22">
        <f t="shared" si="6"/>
        <v>-8000</v>
      </c>
      <c r="E35" s="28">
        <f t="shared" si="7"/>
        <v>0.06</v>
      </c>
      <c r="F35" s="17">
        <f t="shared" si="4"/>
        <v>-14720.174102829347</v>
      </c>
    </row>
    <row r="36" spans="1:6">
      <c r="B36" s="19">
        <f t="shared" si="5"/>
        <v>4</v>
      </c>
      <c r="C36" s="22">
        <f t="shared" si="6"/>
        <v>-8000</v>
      </c>
      <c r="E36" s="180">
        <f t="shared" si="7"/>
        <v>0.08</v>
      </c>
      <c r="F36" s="179">
        <f t="shared" si="4"/>
        <v>0</v>
      </c>
    </row>
    <row r="37" spans="1:6">
      <c r="B37" s="19">
        <f t="shared" si="5"/>
        <v>5</v>
      </c>
      <c r="C37" s="22">
        <f t="shared" si="6"/>
        <v>-8000</v>
      </c>
      <c r="E37" s="28">
        <f t="shared" si="7"/>
        <v>0.1</v>
      </c>
      <c r="F37" s="17">
        <f t="shared" si="4"/>
        <v>12289.134211409415</v>
      </c>
    </row>
    <row r="38" spans="1:6">
      <c r="B38" s="19">
        <f t="shared" si="5"/>
        <v>6</v>
      </c>
      <c r="C38" s="22">
        <f t="shared" si="6"/>
        <v>-8000</v>
      </c>
      <c r="E38" s="28">
        <f t="shared" si="7"/>
        <v>0.12000000000000001</v>
      </c>
      <c r="F38" s="17">
        <f t="shared" si="4"/>
        <v>22600.892113643509</v>
      </c>
    </row>
    <row r="39" spans="1:6">
      <c r="B39" s="19">
        <f t="shared" si="5"/>
        <v>7</v>
      </c>
      <c r="C39" s="22">
        <f t="shared" si="6"/>
        <v>-8000</v>
      </c>
      <c r="E39" s="28">
        <f t="shared" si="7"/>
        <v>0.14000000000000001</v>
      </c>
      <c r="F39" s="17">
        <f t="shared" si="4"/>
        <v>31296.693877761543</v>
      </c>
    </row>
    <row r="40" spans="1:6">
      <c r="B40" s="19">
        <f t="shared" si="5"/>
        <v>8</v>
      </c>
      <c r="C40" s="22">
        <f t="shared" si="6"/>
        <v>-8000</v>
      </c>
      <c r="E40" s="28">
        <f t="shared" si="7"/>
        <v>0.16</v>
      </c>
      <c r="F40" s="17">
        <f t="shared" si="4"/>
        <v>38665.819827659761</v>
      </c>
    </row>
    <row r="41" spans="1:6">
      <c r="B41" s="19">
        <f t="shared" si="5"/>
        <v>9</v>
      </c>
      <c r="C41" s="22">
        <f t="shared" si="6"/>
        <v>-8000</v>
      </c>
      <c r="E41" s="28">
        <f t="shared" si="7"/>
        <v>0.18</v>
      </c>
      <c r="F41" s="17">
        <f t="shared" si="4"/>
        <v>44940.86294924411</v>
      </c>
    </row>
    <row r="42" spans="1:6" ht="15" thickBot="1">
      <c r="B42" s="20">
        <f t="shared" si="5"/>
        <v>10</v>
      </c>
      <c r="C42" s="22">
        <f>C41-B28</f>
        <v>-108000</v>
      </c>
      <c r="E42" s="29">
        <f t="shared" si="7"/>
        <v>0.19999999999999998</v>
      </c>
      <c r="F42" s="18">
        <f t="shared" si="4"/>
        <v>50309.665026609255</v>
      </c>
    </row>
    <row r="43" spans="1:6" ht="16.2" thickBot="1">
      <c r="A43" t="s">
        <v>16</v>
      </c>
      <c r="C43" s="176">
        <f>SUM(C33:C42)</f>
        <v>-180000</v>
      </c>
    </row>
    <row r="45" spans="1:6" ht="21">
      <c r="A45" s="25" t="s">
        <v>11</v>
      </c>
    </row>
    <row r="46" spans="1:6">
      <c r="A46" s="3" t="s">
        <v>1</v>
      </c>
      <c r="B46" s="177">
        <f>B27</f>
        <v>0.08</v>
      </c>
    </row>
    <row r="47" spans="1:6">
      <c r="A47" s="3" t="s">
        <v>2</v>
      </c>
      <c r="B47" s="2">
        <f>B28</f>
        <v>100000</v>
      </c>
    </row>
    <row r="48" spans="1:6">
      <c r="A48" s="3" t="s">
        <v>3</v>
      </c>
      <c r="B48">
        <f>B29</f>
        <v>10</v>
      </c>
    </row>
    <row r="49" spans="1:10">
      <c r="A49" s="5" t="s">
        <v>8</v>
      </c>
      <c r="B49" s="4">
        <f>B47/B48</f>
        <v>10000</v>
      </c>
    </row>
    <row r="51" spans="1:10">
      <c r="B51" s="7" t="s">
        <v>3</v>
      </c>
      <c r="C51" s="7" t="s">
        <v>9</v>
      </c>
      <c r="D51" s="7" t="s">
        <v>8</v>
      </c>
      <c r="E51" s="7" t="s">
        <v>1</v>
      </c>
      <c r="F51" s="33" t="s">
        <v>5</v>
      </c>
      <c r="G51" s="33" t="s">
        <v>10</v>
      </c>
      <c r="I51" s="24" t="s">
        <v>1</v>
      </c>
      <c r="J51" s="26" t="s">
        <v>4</v>
      </c>
    </row>
    <row r="52" spans="1:10">
      <c r="B52" s="19">
        <v>0</v>
      </c>
      <c r="C52" s="31">
        <f>B47</f>
        <v>100000</v>
      </c>
      <c r="D52" s="11"/>
      <c r="E52" s="22"/>
      <c r="F52" s="11"/>
      <c r="G52" s="31">
        <f>B47</f>
        <v>100000</v>
      </c>
      <c r="I52" s="27">
        <v>0</v>
      </c>
      <c r="J52" s="13">
        <f>NPV(I52,F$53:F$62) +$B$47</f>
        <v>-44000</v>
      </c>
    </row>
    <row r="53" spans="1:10">
      <c r="B53" s="19">
        <f>B52+1</f>
        <v>1</v>
      </c>
      <c r="C53" s="21">
        <f>C52+D53</f>
        <v>90000</v>
      </c>
      <c r="D53" s="22">
        <f xml:space="preserve"> - B$49</f>
        <v>-10000</v>
      </c>
      <c r="E53" s="22">
        <f xml:space="preserve"> - C52*$B$46</f>
        <v>-8000</v>
      </c>
      <c r="F53" s="22">
        <f>D53+E53</f>
        <v>-18000</v>
      </c>
      <c r="G53" s="22">
        <f>F53</f>
        <v>-18000</v>
      </c>
      <c r="I53" s="28">
        <f>I52+2%</f>
        <v>0.02</v>
      </c>
      <c r="J53" s="17">
        <f t="shared" ref="J53:J55" si="8">NPV(I53,F$53:F$62) +$B$47</f>
        <v>-30522.449812732913</v>
      </c>
    </row>
    <row r="54" spans="1:10">
      <c r="B54" s="19">
        <f t="shared" ref="B54:B62" si="9">B53+1</f>
        <v>2</v>
      </c>
      <c r="C54" s="21">
        <f t="shared" ref="C54:C62" si="10">C53+D54</f>
        <v>80000</v>
      </c>
      <c r="D54" s="22">
        <f t="shared" ref="D54:D62" si="11" xml:space="preserve"> - B$49</f>
        <v>-10000</v>
      </c>
      <c r="E54" s="22">
        <f t="shared" ref="E54:E62" si="12" xml:space="preserve"> - C53*$B$46</f>
        <v>-7200</v>
      </c>
      <c r="F54" s="22">
        <f t="shared" ref="F54:F62" si="13">D54+E54</f>
        <v>-17200</v>
      </c>
      <c r="G54" s="22">
        <f t="shared" ref="G54:G62" si="14">F54</f>
        <v>-17200</v>
      </c>
      <c r="I54" s="28">
        <f t="shared" ref="I54:I62" si="15">I53+2%</f>
        <v>0.04</v>
      </c>
      <c r="J54" s="17">
        <f t="shared" si="8"/>
        <v>-18891.042206449711</v>
      </c>
    </row>
    <row r="55" spans="1:10">
      <c r="B55" s="19">
        <f t="shared" si="9"/>
        <v>3</v>
      </c>
      <c r="C55" s="21">
        <f t="shared" si="10"/>
        <v>70000</v>
      </c>
      <c r="D55" s="22">
        <f t="shared" si="11"/>
        <v>-10000</v>
      </c>
      <c r="E55" s="22">
        <f t="shared" si="12"/>
        <v>-6400</v>
      </c>
      <c r="F55" s="22">
        <f t="shared" si="13"/>
        <v>-16400</v>
      </c>
      <c r="G55" s="22">
        <f t="shared" si="14"/>
        <v>-16400</v>
      </c>
      <c r="I55" s="28">
        <f t="shared" si="15"/>
        <v>0.06</v>
      </c>
      <c r="J55" s="17">
        <f t="shared" si="8"/>
        <v>-8799.7098286176624</v>
      </c>
    </row>
    <row r="56" spans="1:10">
      <c r="B56" s="19">
        <f t="shared" si="9"/>
        <v>4</v>
      </c>
      <c r="C56" s="21">
        <f t="shared" si="10"/>
        <v>60000</v>
      </c>
      <c r="D56" s="22">
        <f t="shared" si="11"/>
        <v>-10000</v>
      </c>
      <c r="E56" s="22">
        <f t="shared" si="12"/>
        <v>-5600</v>
      </c>
      <c r="F56" s="22">
        <f t="shared" si="13"/>
        <v>-15600</v>
      </c>
      <c r="G56" s="22">
        <f t="shared" si="14"/>
        <v>-15600</v>
      </c>
      <c r="I56" s="180">
        <f t="shared" si="15"/>
        <v>0.08</v>
      </c>
      <c r="J56" s="179">
        <f>NPV(I56,F$53:F$62) +$B$47</f>
        <v>0</v>
      </c>
    </row>
    <row r="57" spans="1:10">
      <c r="B57" s="19">
        <f t="shared" si="9"/>
        <v>5</v>
      </c>
      <c r="C57" s="21">
        <f t="shared" si="10"/>
        <v>50000</v>
      </c>
      <c r="D57" s="22">
        <f t="shared" si="11"/>
        <v>-10000</v>
      </c>
      <c r="E57" s="22">
        <f t="shared" si="12"/>
        <v>-4800</v>
      </c>
      <c r="F57" s="22">
        <f t="shared" si="13"/>
        <v>-14800</v>
      </c>
      <c r="G57" s="22">
        <f t="shared" si="14"/>
        <v>-14800</v>
      </c>
      <c r="I57" s="28">
        <f t="shared" si="15"/>
        <v>0.1</v>
      </c>
      <c r="J57" s="17">
        <f t="shared" ref="J57:J62" si="16">NPV(I57,F$53:F$62) +$B$47</f>
        <v>7710.8657885906723</v>
      </c>
    </row>
    <row r="58" spans="1:10">
      <c r="B58" s="19">
        <f t="shared" si="9"/>
        <v>6</v>
      </c>
      <c r="C58" s="21">
        <f t="shared" si="10"/>
        <v>40000</v>
      </c>
      <c r="D58" s="22">
        <f t="shared" si="11"/>
        <v>-10000</v>
      </c>
      <c r="E58" s="22">
        <f t="shared" si="12"/>
        <v>-4000</v>
      </c>
      <c r="F58" s="22">
        <f t="shared" si="13"/>
        <v>-14000</v>
      </c>
      <c r="G58" s="22">
        <f t="shared" si="14"/>
        <v>-14000</v>
      </c>
      <c r="I58" s="28">
        <f t="shared" si="15"/>
        <v>0.12000000000000001</v>
      </c>
      <c r="J58" s="17">
        <f t="shared" si="16"/>
        <v>14499.256571963822</v>
      </c>
    </row>
    <row r="59" spans="1:10">
      <c r="B59" s="19">
        <f t="shared" si="9"/>
        <v>7</v>
      </c>
      <c r="C59" s="21">
        <f t="shared" si="10"/>
        <v>30000</v>
      </c>
      <c r="D59" s="22">
        <f t="shared" si="11"/>
        <v>-10000</v>
      </c>
      <c r="E59" s="22">
        <f t="shared" si="12"/>
        <v>-3200</v>
      </c>
      <c r="F59" s="22">
        <f t="shared" si="13"/>
        <v>-13200</v>
      </c>
      <c r="G59" s="22">
        <f t="shared" si="14"/>
        <v>-13200</v>
      </c>
      <c r="I59" s="28">
        <f t="shared" si="15"/>
        <v>0.14000000000000001</v>
      </c>
      <c r="J59" s="17">
        <f t="shared" si="16"/>
        <v>20502.361515884681</v>
      </c>
    </row>
    <row r="60" spans="1:10">
      <c r="B60" s="19">
        <f t="shared" si="9"/>
        <v>8</v>
      </c>
      <c r="C60" s="21">
        <f t="shared" si="10"/>
        <v>20000</v>
      </c>
      <c r="D60" s="22">
        <f t="shared" si="11"/>
        <v>-10000</v>
      </c>
      <c r="E60" s="22">
        <f t="shared" si="12"/>
        <v>-2400</v>
      </c>
      <c r="F60" s="22">
        <f t="shared" si="13"/>
        <v>-12400</v>
      </c>
      <c r="G60" s="22">
        <f t="shared" si="14"/>
        <v>-12400</v>
      </c>
      <c r="I60" s="28">
        <f t="shared" si="15"/>
        <v>0.16</v>
      </c>
      <c r="J60" s="17">
        <f t="shared" si="16"/>
        <v>25833.86260771261</v>
      </c>
    </row>
    <row r="61" spans="1:10">
      <c r="B61" s="19">
        <f t="shared" si="9"/>
        <v>9</v>
      </c>
      <c r="C61" s="21">
        <f t="shared" si="10"/>
        <v>10000</v>
      </c>
      <c r="D61" s="22">
        <f t="shared" si="11"/>
        <v>-10000</v>
      </c>
      <c r="E61" s="22">
        <f t="shared" si="12"/>
        <v>-1600</v>
      </c>
      <c r="F61" s="22">
        <f t="shared" si="13"/>
        <v>-11600</v>
      </c>
      <c r="G61" s="22">
        <f t="shared" si="14"/>
        <v>-11600</v>
      </c>
      <c r="I61" s="28">
        <f t="shared" si="15"/>
        <v>0.18</v>
      </c>
      <c r="J61" s="17">
        <f t="shared" si="16"/>
        <v>30588.409472642132</v>
      </c>
    </row>
    <row r="62" spans="1:10" ht="15" thickBot="1">
      <c r="B62" s="20">
        <f t="shared" si="9"/>
        <v>10</v>
      </c>
      <c r="C62" s="32">
        <f t="shared" si="10"/>
        <v>0</v>
      </c>
      <c r="D62" s="23">
        <f t="shared" si="11"/>
        <v>-10000</v>
      </c>
      <c r="E62" s="23">
        <f t="shared" si="12"/>
        <v>-800</v>
      </c>
      <c r="F62" s="22">
        <f t="shared" si="13"/>
        <v>-10800</v>
      </c>
      <c r="G62" s="23">
        <f t="shared" si="14"/>
        <v>-10800</v>
      </c>
      <c r="I62" s="29">
        <f t="shared" si="15"/>
        <v>0.19999999999999998</v>
      </c>
      <c r="J62" s="18">
        <f t="shared" si="16"/>
        <v>34845.167486695362</v>
      </c>
    </row>
    <row r="63" spans="1:10" ht="16.2" thickBot="1">
      <c r="B63" s="3"/>
      <c r="C63" s="30"/>
      <c r="D63" t="s">
        <v>16</v>
      </c>
      <c r="F63" s="176">
        <f>SUM(F53:F62)</f>
        <v>-144000</v>
      </c>
      <c r="G63" s="41"/>
    </row>
    <row r="66" spans="1:5" ht="21">
      <c r="A66" s="25" t="s">
        <v>15</v>
      </c>
    </row>
    <row r="69" spans="1:5">
      <c r="C69" s="37" t="s">
        <v>12</v>
      </c>
      <c r="D69" s="38" t="s">
        <v>13</v>
      </c>
      <c r="E69" s="40" t="s">
        <v>14</v>
      </c>
    </row>
    <row r="70" spans="1:5">
      <c r="B70" s="24" t="s">
        <v>1</v>
      </c>
      <c r="C70" s="26" t="s">
        <v>4</v>
      </c>
      <c r="D70" s="26" t="s">
        <v>4</v>
      </c>
      <c r="E70" s="24" t="s">
        <v>4</v>
      </c>
    </row>
    <row r="71" spans="1:5">
      <c r="B71" s="14">
        <v>0</v>
      </c>
      <c r="C71" s="34">
        <f>F12</f>
        <v>-49029.488697075314</v>
      </c>
      <c r="D71" s="13">
        <f>F32</f>
        <v>-80000</v>
      </c>
      <c r="E71" s="39">
        <f>J52</f>
        <v>-44000</v>
      </c>
    </row>
    <row r="72" spans="1:5">
      <c r="B72" s="15">
        <f>B71+2%</f>
        <v>0.02</v>
      </c>
      <c r="C72" s="35">
        <f t="shared" ref="C72:C81" si="17">F13</f>
        <v>-33867.00506582958</v>
      </c>
      <c r="D72" s="17">
        <f t="shared" ref="D72:D81" si="18">F33</f>
        <v>-53895.510037453438</v>
      </c>
      <c r="E72" s="22">
        <f t="shared" ref="E72:E81" si="19">J53</f>
        <v>-30522.449812732913</v>
      </c>
    </row>
    <row r="73" spans="1:5">
      <c r="B73" s="15">
        <f t="shared" ref="B73:B81" si="20">B72+2%</f>
        <v>0.04</v>
      </c>
      <c r="C73" s="35">
        <f t="shared" si="17"/>
        <v>-20876.265087254636</v>
      </c>
      <c r="D73" s="17">
        <f t="shared" si="18"/>
        <v>-32443.583117420058</v>
      </c>
      <c r="E73" s="22">
        <f t="shared" si="19"/>
        <v>-18891.042206449711</v>
      </c>
    </row>
    <row r="74" spans="1:5">
      <c r="B74" s="15">
        <f t="shared" si="20"/>
        <v>0.06</v>
      </c>
      <c r="C74" s="35">
        <f t="shared" si="17"/>
        <v>-9687.0010038297187</v>
      </c>
      <c r="D74" s="17">
        <f t="shared" si="18"/>
        <v>-14720.174102829347</v>
      </c>
      <c r="E74" s="22">
        <f t="shared" si="19"/>
        <v>-8799.7098286176624</v>
      </c>
    </row>
    <row r="75" spans="1:5">
      <c r="B75" s="15">
        <f t="shared" si="20"/>
        <v>0.08</v>
      </c>
      <c r="C75" s="35">
        <f t="shared" si="17"/>
        <v>0</v>
      </c>
      <c r="D75" s="17">
        <f t="shared" si="18"/>
        <v>0</v>
      </c>
      <c r="E75" s="22">
        <f t="shared" si="19"/>
        <v>0</v>
      </c>
    </row>
    <row r="76" spans="1:5">
      <c r="B76" s="15">
        <f t="shared" si="20"/>
        <v>0.1</v>
      </c>
      <c r="C76" s="35">
        <f t="shared" si="17"/>
        <v>8427.8305971963418</v>
      </c>
      <c r="D76" s="17">
        <f t="shared" si="18"/>
        <v>12289.134211409415</v>
      </c>
      <c r="E76" s="22">
        <f t="shared" si="19"/>
        <v>7710.8657885906723</v>
      </c>
    </row>
    <row r="77" spans="1:5">
      <c r="B77" s="15">
        <f t="shared" si="20"/>
        <v>0.12000000000000001</v>
      </c>
      <c r="C77" s="35">
        <f t="shared" si="17"/>
        <v>15795.015105148836</v>
      </c>
      <c r="D77" s="17">
        <f t="shared" si="18"/>
        <v>22600.892113643509</v>
      </c>
      <c r="E77" s="22">
        <f t="shared" si="19"/>
        <v>14499.256571963822</v>
      </c>
    </row>
    <row r="78" spans="1:5">
      <c r="B78" s="15">
        <f t="shared" si="20"/>
        <v>0.14000000000000001</v>
      </c>
      <c r="C78" s="35">
        <f t="shared" si="17"/>
        <v>22264.495224805331</v>
      </c>
      <c r="D78" s="17">
        <f t="shared" si="18"/>
        <v>31296.693877761543</v>
      </c>
      <c r="E78" s="22">
        <f t="shared" si="19"/>
        <v>20502.361515884681</v>
      </c>
    </row>
    <row r="79" spans="1:5">
      <c r="B79" s="15">
        <f t="shared" si="20"/>
        <v>0.16</v>
      </c>
      <c r="C79" s="35">
        <f t="shared" si="17"/>
        <v>27970.658012882792</v>
      </c>
      <c r="D79" s="17">
        <f t="shared" si="18"/>
        <v>38665.819827659761</v>
      </c>
      <c r="E79" s="22">
        <f t="shared" si="19"/>
        <v>25833.86260771261</v>
      </c>
    </row>
    <row r="80" spans="1:5">
      <c r="B80" s="15">
        <f t="shared" si="20"/>
        <v>0.18</v>
      </c>
      <c r="C80" s="35">
        <f t="shared" si="17"/>
        <v>33024.861730688091</v>
      </c>
      <c r="D80" s="17">
        <f t="shared" si="18"/>
        <v>44940.86294924411</v>
      </c>
      <c r="E80" s="22">
        <f t="shared" si="19"/>
        <v>30588.409472642132</v>
      </c>
    </row>
    <row r="81" spans="2:5">
      <c r="B81" s="16">
        <f t="shared" si="20"/>
        <v>0.19999999999999998</v>
      </c>
      <c r="C81" s="36">
        <f t="shared" si="17"/>
        <v>37519.80287136072</v>
      </c>
      <c r="D81" s="18">
        <f t="shared" si="18"/>
        <v>50309.665026609255</v>
      </c>
      <c r="E81" s="23">
        <f t="shared" si="19"/>
        <v>34845.167486695362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workbookViewId="0"/>
  </sheetViews>
  <sheetFormatPr defaultRowHeight="14.4"/>
  <cols>
    <col min="3" max="3" width="10" customWidth="1"/>
    <col min="4" max="4" width="10.5546875" bestFit="1" customWidth="1"/>
    <col min="5" max="5" width="10.6640625" customWidth="1"/>
    <col min="6" max="6" width="12.33203125" bestFit="1" customWidth="1"/>
    <col min="10" max="10" width="9.88671875" customWidth="1"/>
    <col min="11" max="11" width="11.33203125" bestFit="1" customWidth="1"/>
    <col min="12" max="12" width="12.33203125" bestFit="1" customWidth="1"/>
    <col min="14" max="14" width="9.33203125" bestFit="1" customWidth="1"/>
  </cols>
  <sheetData>
    <row r="1" spans="1:7" ht="21">
      <c r="A1" s="25" t="s">
        <v>195</v>
      </c>
    </row>
    <row r="3" spans="1:7" ht="15.6">
      <c r="A3" s="46" t="s">
        <v>107</v>
      </c>
      <c r="B3" s="47"/>
      <c r="C3" s="47"/>
      <c r="D3" s="47"/>
      <c r="E3" s="47"/>
      <c r="F3" s="47"/>
      <c r="G3" s="47"/>
    </row>
    <row r="4" spans="1:7" ht="15.6">
      <c r="A4" s="101" t="s">
        <v>196</v>
      </c>
      <c r="B4" s="47"/>
      <c r="C4" s="47"/>
      <c r="D4" s="47"/>
      <c r="E4" s="47"/>
      <c r="F4" s="47"/>
      <c r="G4" s="47"/>
    </row>
    <row r="5" spans="1:7" ht="15.6">
      <c r="A5" s="47" t="s">
        <v>108</v>
      </c>
      <c r="B5" s="47"/>
      <c r="C5" s="47"/>
      <c r="D5" s="98">
        <v>100000</v>
      </c>
      <c r="E5" s="47" t="s">
        <v>20</v>
      </c>
      <c r="F5" s="47"/>
      <c r="G5" s="47"/>
    </row>
    <row r="6" spans="1:7" ht="15.6">
      <c r="A6" s="47" t="s">
        <v>109</v>
      </c>
      <c r="B6" s="47"/>
      <c r="C6" s="47"/>
      <c r="D6" s="47">
        <v>5</v>
      </c>
      <c r="E6" s="47" t="s">
        <v>21</v>
      </c>
      <c r="F6" s="47"/>
      <c r="G6" s="47"/>
    </row>
    <row r="7" spans="1:7" ht="15.6">
      <c r="A7" s="47" t="s">
        <v>109</v>
      </c>
      <c r="B7" s="47"/>
      <c r="C7" s="47"/>
      <c r="D7" s="47">
        <v>60</v>
      </c>
      <c r="E7" s="47" t="s">
        <v>43</v>
      </c>
      <c r="F7" s="47"/>
      <c r="G7" s="47"/>
    </row>
    <row r="8" spans="1:7" ht="15.6">
      <c r="A8" s="47" t="s">
        <v>5</v>
      </c>
      <c r="B8" s="47"/>
      <c r="C8" s="47"/>
      <c r="D8" s="99">
        <v>2.1999999999999999E-2</v>
      </c>
      <c r="E8" s="47" t="s">
        <v>156</v>
      </c>
      <c r="F8" s="47"/>
      <c r="G8" s="47"/>
    </row>
    <row r="9" spans="1:7" ht="15.6">
      <c r="A9" s="47" t="s">
        <v>5</v>
      </c>
      <c r="B9" s="47"/>
      <c r="C9" s="47"/>
      <c r="D9" s="98">
        <f>D5*D8</f>
        <v>2200</v>
      </c>
      <c r="E9" s="47" t="s">
        <v>157</v>
      </c>
      <c r="F9" s="47"/>
      <c r="G9" s="47"/>
    </row>
    <row r="10" spans="1:7" ht="15.6">
      <c r="A10" s="47" t="s">
        <v>110</v>
      </c>
      <c r="B10" s="47"/>
      <c r="C10" s="47"/>
      <c r="D10" s="100">
        <v>0.25</v>
      </c>
      <c r="E10" s="47"/>
      <c r="F10" s="47"/>
      <c r="G10" s="47"/>
    </row>
    <row r="11" spans="1:7" ht="15.6">
      <c r="A11" s="47" t="s">
        <v>170</v>
      </c>
      <c r="B11" s="47"/>
      <c r="C11" s="47"/>
      <c r="D11" s="98">
        <f>D5-D9</f>
        <v>97800</v>
      </c>
      <c r="E11" s="47" t="s">
        <v>111</v>
      </c>
      <c r="F11" s="47"/>
      <c r="G11" s="47"/>
    </row>
    <row r="12" spans="1:7" ht="15.6">
      <c r="A12" s="47" t="s">
        <v>171</v>
      </c>
      <c r="B12" s="47"/>
      <c r="C12" s="47"/>
      <c r="D12" s="98">
        <f xml:space="preserve">  -  D9</f>
        <v>-2200</v>
      </c>
      <c r="E12" s="47" t="s">
        <v>20</v>
      </c>
      <c r="F12" s="47"/>
      <c r="G12" s="47"/>
    </row>
    <row r="13" spans="1:7" ht="15.6">
      <c r="A13" s="47" t="s">
        <v>127</v>
      </c>
      <c r="B13" s="47"/>
      <c r="C13" s="47"/>
      <c r="D13" s="47">
        <v>59</v>
      </c>
      <c r="E13" s="47"/>
      <c r="F13" s="47"/>
      <c r="G13" s="47"/>
    </row>
    <row r="14" spans="1:7" ht="15.6">
      <c r="A14" s="47"/>
      <c r="B14" s="47"/>
      <c r="C14" s="47"/>
      <c r="D14" s="47"/>
      <c r="E14" s="47"/>
      <c r="F14" s="47"/>
      <c r="G14" s="47"/>
    </row>
    <row r="15" spans="1:7" ht="15.6">
      <c r="A15" s="46" t="s">
        <v>112</v>
      </c>
      <c r="B15" s="47"/>
      <c r="C15" s="47"/>
      <c r="D15" s="208">
        <f>RATE(D13,D12,D11                       )</f>
        <v>9.9581518897474373E-3</v>
      </c>
      <c r="E15" s="209" t="s">
        <v>92</v>
      </c>
      <c r="F15" s="47"/>
      <c r="G15" s="47"/>
    </row>
    <row r="16" spans="1:7" ht="15.6">
      <c r="A16" s="47"/>
      <c r="B16" s="47"/>
      <c r="C16" s="47"/>
      <c r="D16" s="47"/>
      <c r="E16" s="47"/>
      <c r="F16" s="47"/>
      <c r="G16" s="47"/>
    </row>
    <row r="17" spans="1:7" ht="18">
      <c r="A17" s="46" t="s">
        <v>112</v>
      </c>
      <c r="B17" s="47"/>
      <c r="C17" s="47"/>
      <c r="D17" s="80">
        <f>(1+D15)^12  - 1</f>
        <v>0.12626489444665001</v>
      </c>
      <c r="E17" s="183" t="s">
        <v>26</v>
      </c>
      <c r="F17" s="47"/>
      <c r="G17" s="47"/>
    </row>
    <row r="18" spans="1:7" ht="15.6">
      <c r="A18" s="47"/>
      <c r="B18" s="47"/>
      <c r="C18" s="47"/>
      <c r="D18" s="47"/>
      <c r="E18" s="47"/>
      <c r="F18" s="47"/>
      <c r="G18" s="47"/>
    </row>
    <row r="19" spans="1:7" ht="15.6">
      <c r="A19" s="47"/>
      <c r="B19" s="47"/>
      <c r="C19" s="47"/>
      <c r="D19" s="47"/>
      <c r="E19" s="47"/>
      <c r="F19" s="47" t="s">
        <v>169</v>
      </c>
      <c r="G19" s="47"/>
    </row>
    <row r="20" spans="1:7" ht="15.6">
      <c r="A20" s="46" t="s">
        <v>197</v>
      </c>
      <c r="B20" s="47"/>
      <c r="C20" s="47"/>
      <c r="D20" s="47"/>
      <c r="E20" s="47"/>
      <c r="F20" s="47"/>
      <c r="G20" s="47"/>
    </row>
    <row r="21" spans="1:7" ht="15.6">
      <c r="A21" s="47"/>
      <c r="B21" s="47"/>
      <c r="C21" s="47"/>
      <c r="D21" s="47"/>
      <c r="E21" s="47"/>
      <c r="F21" s="47"/>
      <c r="G21" s="47"/>
    </row>
    <row r="22" spans="1:7" ht="15.6">
      <c r="A22" s="47" t="s">
        <v>113</v>
      </c>
      <c r="B22" s="47"/>
      <c r="C22" s="47"/>
      <c r="D22" s="100">
        <v>0.1</v>
      </c>
      <c r="E22" s="47" t="s">
        <v>22</v>
      </c>
      <c r="F22" s="47"/>
      <c r="G22" s="47"/>
    </row>
    <row r="23" spans="1:7" ht="15.6">
      <c r="A23" s="47" t="s">
        <v>114</v>
      </c>
      <c r="B23" s="47"/>
      <c r="C23" s="47"/>
      <c r="D23" s="100">
        <f>D10</f>
        <v>0.25</v>
      </c>
      <c r="E23" s="47"/>
      <c r="F23" s="47"/>
      <c r="G23" s="47"/>
    </row>
    <row r="24" spans="1:7" ht="15.6">
      <c r="A24" s="47" t="s">
        <v>116</v>
      </c>
      <c r="B24" s="47"/>
      <c r="C24" s="47"/>
      <c r="D24" s="99">
        <f>D22*(1-D23)</f>
        <v>7.5000000000000011E-2</v>
      </c>
      <c r="E24" s="134">
        <f>D24</f>
        <v>7.5000000000000011E-2</v>
      </c>
      <c r="F24" s="47"/>
      <c r="G24" s="47"/>
    </row>
    <row r="25" spans="1:7" ht="15.6">
      <c r="A25" s="47"/>
      <c r="B25" s="47"/>
      <c r="C25" s="47"/>
      <c r="D25" s="47"/>
      <c r="E25" s="47"/>
      <c r="F25" s="47"/>
      <c r="G25" s="47"/>
    </row>
    <row r="26" spans="1:7" ht="15.6">
      <c r="A26" s="119" t="s">
        <v>115</v>
      </c>
      <c r="B26" s="47"/>
      <c r="C26" s="47"/>
      <c r="D26" s="99"/>
      <c r="E26" s="47"/>
      <c r="F26" s="47"/>
      <c r="G26" s="47"/>
    </row>
    <row r="27" spans="1:7" ht="15.6">
      <c r="A27" s="47" t="s">
        <v>4</v>
      </c>
      <c r="B27" s="47"/>
      <c r="C27" s="47"/>
      <c r="D27" s="47">
        <v>-100</v>
      </c>
      <c r="E27" s="47" t="s">
        <v>118</v>
      </c>
      <c r="F27" s="47"/>
      <c r="G27" s="47"/>
    </row>
    <row r="28" spans="1:7" ht="15.6">
      <c r="A28" s="47" t="s">
        <v>25</v>
      </c>
      <c r="B28" s="47"/>
      <c r="C28" s="47"/>
      <c r="D28" s="47">
        <v>12</v>
      </c>
      <c r="E28" s="99"/>
      <c r="F28" s="47"/>
      <c r="G28" s="47"/>
    </row>
    <row r="29" spans="1:7" ht="15.6">
      <c r="A29" s="47" t="s">
        <v>119</v>
      </c>
      <c r="B29" s="47"/>
      <c r="C29" s="47"/>
      <c r="D29" s="47">
        <v>0</v>
      </c>
      <c r="E29" s="47"/>
      <c r="F29" s="47"/>
      <c r="G29" s="47"/>
    </row>
    <row r="30" spans="1:7" ht="15.6">
      <c r="A30" s="47" t="s">
        <v>202</v>
      </c>
      <c r="B30" s="47"/>
      <c r="C30" s="47"/>
      <c r="D30" s="135">
        <f>100 *(1+D24)</f>
        <v>107.5</v>
      </c>
      <c r="E30" s="47" t="s">
        <v>147</v>
      </c>
      <c r="F30" s="47"/>
      <c r="G30" s="47"/>
    </row>
    <row r="31" spans="1:7" ht="15.6">
      <c r="A31" s="47"/>
      <c r="B31" s="47"/>
      <c r="C31" s="47"/>
      <c r="D31" s="47"/>
      <c r="E31" s="47"/>
      <c r="F31" s="47"/>
      <c r="G31" s="47"/>
    </row>
    <row r="32" spans="1:7" ht="15.6">
      <c r="A32" s="119" t="s">
        <v>117</v>
      </c>
      <c r="B32" s="47"/>
      <c r="C32" s="47"/>
      <c r="D32" s="145">
        <f>RATE(D28,D29,D27,D30      )</f>
        <v>6.0449190243115581E-3</v>
      </c>
      <c r="E32" s="47" t="s">
        <v>92</v>
      </c>
      <c r="F32" s="47"/>
      <c r="G32" s="47"/>
    </row>
    <row r="33" spans="1:13" ht="15.6">
      <c r="A33" s="47"/>
      <c r="B33" s="47"/>
      <c r="C33" s="47"/>
      <c r="D33" s="47"/>
      <c r="E33" s="47"/>
      <c r="F33" s="47"/>
      <c r="G33" s="47"/>
    </row>
    <row r="34" spans="1:13" ht="15.6">
      <c r="A34" s="47" t="s">
        <v>122</v>
      </c>
      <c r="B34" s="47"/>
      <c r="C34" s="47"/>
      <c r="D34" s="98">
        <f>D28*D9*D23</f>
        <v>6600</v>
      </c>
      <c r="E34" s="47"/>
      <c r="F34" s="47"/>
      <c r="G34" s="47"/>
    </row>
    <row r="36" spans="1:13">
      <c r="A36" t="s">
        <v>154</v>
      </c>
    </row>
    <row r="38" spans="1:13">
      <c r="A38" s="129" t="s">
        <v>120</v>
      </c>
      <c r="B38" s="7" t="s">
        <v>5</v>
      </c>
      <c r="C38" s="129" t="s">
        <v>121</v>
      </c>
      <c r="D38" s="7" t="s">
        <v>123</v>
      </c>
      <c r="E38" s="129" t="s">
        <v>130</v>
      </c>
      <c r="F38" s="57" t="s">
        <v>131</v>
      </c>
    </row>
    <row r="39" spans="1:13">
      <c r="A39" s="19">
        <v>0</v>
      </c>
      <c r="B39" s="21">
        <f>K43</f>
        <v>-2200</v>
      </c>
      <c r="C39" s="11"/>
      <c r="D39" s="21">
        <f>B39+C39</f>
        <v>-2200</v>
      </c>
      <c r="E39" s="102">
        <f>(1+$D$32)^-A39</f>
        <v>1</v>
      </c>
      <c r="F39" s="150">
        <f>D39*E39</f>
        <v>-2200</v>
      </c>
    </row>
    <row r="40" spans="1:13" ht="15.6">
      <c r="A40" s="19">
        <f>A39+1</f>
        <v>1</v>
      </c>
      <c r="B40" s="21">
        <f>B39</f>
        <v>-2200</v>
      </c>
      <c r="C40" s="11"/>
      <c r="D40" s="21">
        <f t="shared" ref="D40:D51" si="0">B40+C40</f>
        <v>-2200</v>
      </c>
      <c r="E40" s="102">
        <f t="shared" ref="E40:E51" si="1">(1+$D$32)^-A40</f>
        <v>0.99399140246125983</v>
      </c>
      <c r="F40" s="151">
        <f t="shared" ref="F40:F51" si="2">D40*E40</f>
        <v>-2186.7810854147715</v>
      </c>
      <c r="J40" s="46" t="s">
        <v>145</v>
      </c>
    </row>
    <row r="41" spans="1:13">
      <c r="A41" s="19">
        <f t="shared" ref="A41:A51" si="3">A40+1</f>
        <v>2</v>
      </c>
      <c r="B41" s="21">
        <f t="shared" ref="B41:B50" si="4">B40</f>
        <v>-2200</v>
      </c>
      <c r="C41" s="11"/>
      <c r="D41" s="21">
        <f t="shared" si="0"/>
        <v>-2200</v>
      </c>
      <c r="E41" s="102">
        <f t="shared" si="1"/>
        <v>0.98801890816690219</v>
      </c>
      <c r="F41" s="151">
        <f t="shared" si="2"/>
        <v>-2173.6415979671847</v>
      </c>
    </row>
    <row r="42" spans="1:13">
      <c r="A42" s="19">
        <f t="shared" si="3"/>
        <v>3</v>
      </c>
      <c r="B42" s="21">
        <f t="shared" si="4"/>
        <v>-2200</v>
      </c>
      <c r="C42" s="11"/>
      <c r="D42" s="21">
        <f t="shared" si="0"/>
        <v>-2200</v>
      </c>
      <c r="E42" s="102">
        <f t="shared" si="1"/>
        <v>0.98208230018706189</v>
      </c>
      <c r="F42" s="151">
        <f t="shared" si="2"/>
        <v>-2160.5810604115363</v>
      </c>
      <c r="J42" s="7" t="s">
        <v>120</v>
      </c>
      <c r="K42" s="7" t="s">
        <v>5</v>
      </c>
      <c r="L42" s="132" t="s">
        <v>121</v>
      </c>
      <c r="M42" s="57" t="s">
        <v>123</v>
      </c>
    </row>
    <row r="43" spans="1:13">
      <c r="A43" s="19">
        <f t="shared" si="3"/>
        <v>4</v>
      </c>
      <c r="B43" s="21">
        <f t="shared" si="4"/>
        <v>-2200</v>
      </c>
      <c r="C43" s="11"/>
      <c r="D43" s="21">
        <f t="shared" si="0"/>
        <v>-2200</v>
      </c>
      <c r="E43" s="102">
        <f t="shared" si="1"/>
        <v>0.97618136289531765</v>
      </c>
      <c r="F43" s="151">
        <f t="shared" si="2"/>
        <v>-2147.5989983696986</v>
      </c>
      <c r="J43" s="73">
        <v>0</v>
      </c>
      <c r="K43" s="130">
        <f>- D9</f>
        <v>-2200</v>
      </c>
      <c r="L43" s="19"/>
      <c r="M43" s="195">
        <f>K43+L43</f>
        <v>-2200</v>
      </c>
    </row>
    <row r="44" spans="1:13">
      <c r="A44" s="19">
        <f t="shared" si="3"/>
        <v>5</v>
      </c>
      <c r="B44" s="21">
        <f t="shared" si="4"/>
        <v>-2200</v>
      </c>
      <c r="C44" s="11"/>
      <c r="D44" s="21">
        <f t="shared" si="0"/>
        <v>-2200</v>
      </c>
      <c r="E44" s="102">
        <f t="shared" si="1"/>
        <v>0.97031588196086094</v>
      </c>
      <c r="F44" s="151">
        <f t="shared" si="2"/>
        <v>-2134.6949403138942</v>
      </c>
      <c r="J44" s="19">
        <f>J43+1</f>
        <v>1</v>
      </c>
      <c r="K44" s="131">
        <f>K43</f>
        <v>-2200</v>
      </c>
      <c r="L44" s="19"/>
      <c r="M44" s="196">
        <f t="shared" ref="M44:M103" si="5">K44+L44</f>
        <v>-2200</v>
      </c>
    </row>
    <row r="45" spans="1:13">
      <c r="A45" s="19">
        <f t="shared" si="3"/>
        <v>6</v>
      </c>
      <c r="B45" s="21">
        <f t="shared" si="4"/>
        <v>-2200</v>
      </c>
      <c r="C45" s="11"/>
      <c r="D45" s="21">
        <f t="shared" si="0"/>
        <v>-2200</v>
      </c>
      <c r="E45" s="102">
        <f t="shared" si="1"/>
        <v>0.96448564434071027</v>
      </c>
      <c r="F45" s="151">
        <f t="shared" si="2"/>
        <v>-2121.8684175495628</v>
      </c>
      <c r="J45" s="19">
        <f t="shared" ref="J45:J103" si="6">J44+1</f>
        <v>2</v>
      </c>
      <c r="K45" s="131">
        <f t="shared" ref="K45:K102" si="7">K44</f>
        <v>-2200</v>
      </c>
      <c r="L45" s="19"/>
      <c r="M45" s="196">
        <f t="shared" si="5"/>
        <v>-2200</v>
      </c>
    </row>
    <row r="46" spans="1:13">
      <c r="A46" s="19">
        <f t="shared" si="3"/>
        <v>7</v>
      </c>
      <c r="B46" s="21">
        <f t="shared" si="4"/>
        <v>-2200</v>
      </c>
      <c r="C46" s="11"/>
      <c r="D46" s="21">
        <f t="shared" si="0"/>
        <v>-2200</v>
      </c>
      <c r="E46" s="102">
        <f t="shared" si="1"/>
        <v>0.95869043827197453</v>
      </c>
      <c r="F46" s="151">
        <f t="shared" si="2"/>
        <v>-2109.1189641983437</v>
      </c>
      <c r="J46" s="19">
        <f t="shared" si="6"/>
        <v>3</v>
      </c>
      <c r="K46" s="131">
        <f t="shared" si="7"/>
        <v>-2200</v>
      </c>
      <c r="L46" s="19"/>
      <c r="M46" s="196">
        <f t="shared" si="5"/>
        <v>-2200</v>
      </c>
    </row>
    <row r="47" spans="1:13">
      <c r="A47" s="19">
        <f t="shared" si="3"/>
        <v>8</v>
      </c>
      <c r="B47" s="21">
        <f t="shared" si="4"/>
        <v>-2200</v>
      </c>
      <c r="C47" s="11"/>
      <c r="D47" s="21">
        <f t="shared" si="0"/>
        <v>-2200</v>
      </c>
      <c r="E47" s="102">
        <f t="shared" si="1"/>
        <v>0.9529300532641598</v>
      </c>
      <c r="F47" s="151">
        <f t="shared" si="2"/>
        <v>-2096.4461171811517</v>
      </c>
      <c r="J47" s="19">
        <f t="shared" si="6"/>
        <v>4</v>
      </c>
      <c r="K47" s="131">
        <f t="shared" si="7"/>
        <v>-2200</v>
      </c>
      <c r="L47" s="19"/>
      <c r="M47" s="196">
        <f t="shared" si="5"/>
        <v>-2200</v>
      </c>
    </row>
    <row r="48" spans="1:13">
      <c r="A48" s="19">
        <f t="shared" si="3"/>
        <v>9</v>
      </c>
      <c r="B48" s="21">
        <f t="shared" si="4"/>
        <v>-2200</v>
      </c>
      <c r="C48" s="11"/>
      <c r="D48" s="21">
        <f t="shared" si="0"/>
        <v>-2200</v>
      </c>
      <c r="E48" s="102">
        <f t="shared" si="1"/>
        <v>0.94720428009152535</v>
      </c>
      <c r="F48" s="151">
        <f t="shared" si="2"/>
        <v>-2083.8494162013558</v>
      </c>
      <c r="J48" s="19">
        <f t="shared" si="6"/>
        <v>5</v>
      </c>
      <c r="K48" s="131">
        <f t="shared" si="7"/>
        <v>-2200</v>
      </c>
      <c r="L48" s="19"/>
      <c r="M48" s="196">
        <f t="shared" si="5"/>
        <v>-2200</v>
      </c>
    </row>
    <row r="49" spans="1:13">
      <c r="A49" s="19">
        <f t="shared" si="3"/>
        <v>10</v>
      </c>
      <c r="B49" s="21">
        <f t="shared" si="4"/>
        <v>-2200</v>
      </c>
      <c r="C49" s="11"/>
      <c r="D49" s="21">
        <f t="shared" si="0"/>
        <v>-2200</v>
      </c>
      <c r="E49" s="102">
        <f t="shared" si="1"/>
        <v>0.94151291078548316</v>
      </c>
      <c r="F49" s="151">
        <f t="shared" si="2"/>
        <v>-2071.3284037280628</v>
      </c>
      <c r="J49" s="19">
        <f t="shared" si="6"/>
        <v>6</v>
      </c>
      <c r="K49" s="131">
        <f t="shared" si="7"/>
        <v>-2200</v>
      </c>
      <c r="L49" s="19"/>
      <c r="M49" s="196">
        <f t="shared" si="5"/>
        <v>-2200</v>
      </c>
    </row>
    <row r="50" spans="1:13">
      <c r="A50" s="19">
        <f t="shared" si="3"/>
        <v>11</v>
      </c>
      <c r="B50" s="21">
        <f t="shared" si="4"/>
        <v>-2200</v>
      </c>
      <c r="C50" s="11"/>
      <c r="D50" s="21">
        <f t="shared" si="0"/>
        <v>-2200</v>
      </c>
      <c r="E50" s="102">
        <f t="shared" si="1"/>
        <v>0.93585573862704541</v>
      </c>
      <c r="F50" s="151">
        <f t="shared" si="2"/>
        <v>-2058.8826249794997</v>
      </c>
      <c r="J50" s="19">
        <f t="shared" si="6"/>
        <v>7</v>
      </c>
      <c r="K50" s="131">
        <f t="shared" si="7"/>
        <v>-2200</v>
      </c>
      <c r="L50" s="19"/>
      <c r="M50" s="196">
        <f t="shared" si="5"/>
        <v>-2200</v>
      </c>
    </row>
    <row r="51" spans="1:13">
      <c r="A51" s="20">
        <f t="shared" si="3"/>
        <v>12</v>
      </c>
      <c r="B51" s="32"/>
      <c r="C51" s="32">
        <f>L55</f>
        <v>6600</v>
      </c>
      <c r="D51" s="32">
        <f t="shared" si="0"/>
        <v>6600</v>
      </c>
      <c r="E51" s="103">
        <f t="shared" si="1"/>
        <v>0.93023255813931516</v>
      </c>
      <c r="F51" s="152">
        <f t="shared" si="2"/>
        <v>6139.5348837194797</v>
      </c>
      <c r="J51" s="19">
        <f t="shared" si="6"/>
        <v>8</v>
      </c>
      <c r="K51" s="131">
        <f t="shared" si="7"/>
        <v>-2200</v>
      </c>
      <c r="L51" s="19"/>
      <c r="M51" s="196">
        <f t="shared" si="5"/>
        <v>-2200</v>
      </c>
    </row>
    <row r="52" spans="1:13" ht="18">
      <c r="A52" s="148"/>
      <c r="B52" s="69"/>
      <c r="C52" s="69"/>
      <c r="D52" s="69"/>
      <c r="E52" s="149" t="s">
        <v>155</v>
      </c>
      <c r="F52" s="140">
        <f>SUM(F39:F51)</f>
        <v>-19405.256742595579</v>
      </c>
      <c r="J52" s="19">
        <f t="shared" si="6"/>
        <v>9</v>
      </c>
      <c r="K52" s="131">
        <f t="shared" si="7"/>
        <v>-2200</v>
      </c>
      <c r="L52" s="19"/>
      <c r="M52" s="196">
        <f t="shared" si="5"/>
        <v>-2200</v>
      </c>
    </row>
    <row r="53" spans="1:13" ht="18">
      <c r="A53" s="46"/>
      <c r="B53" s="46"/>
      <c r="D53" s="143"/>
      <c r="E53" s="76"/>
      <c r="F53" s="143"/>
      <c r="J53" s="19">
        <f t="shared" si="6"/>
        <v>10</v>
      </c>
      <c r="K53" s="131">
        <f t="shared" si="7"/>
        <v>-2200</v>
      </c>
      <c r="L53" s="19"/>
      <c r="M53" s="196">
        <f t="shared" si="5"/>
        <v>-2200</v>
      </c>
    </row>
    <row r="54" spans="1:13" ht="18">
      <c r="A54" s="46" t="s">
        <v>172</v>
      </c>
      <c r="B54" s="46"/>
      <c r="D54" s="143"/>
      <c r="E54" s="76"/>
      <c r="F54" s="147">
        <f xml:space="preserve"> -PV(D24,D6,F52,,1)</f>
        <v>-84399.79291984142</v>
      </c>
      <c r="G54" t="s">
        <v>173</v>
      </c>
      <c r="J54" s="19">
        <f t="shared" si="6"/>
        <v>11</v>
      </c>
      <c r="K54" s="131">
        <f t="shared" si="7"/>
        <v>-2200</v>
      </c>
      <c r="L54" s="19"/>
      <c r="M54" s="196">
        <f t="shared" si="5"/>
        <v>-2200</v>
      </c>
    </row>
    <row r="55" spans="1:13">
      <c r="D55" s="44"/>
      <c r="G55" t="s">
        <v>198</v>
      </c>
      <c r="J55" s="19">
        <f t="shared" si="6"/>
        <v>12</v>
      </c>
      <c r="K55" s="131">
        <f t="shared" si="7"/>
        <v>-2200</v>
      </c>
      <c r="L55" s="131">
        <f>D34</f>
        <v>6600</v>
      </c>
      <c r="M55" s="196">
        <f t="shared" si="5"/>
        <v>4400</v>
      </c>
    </row>
    <row r="56" spans="1:13" ht="15.6">
      <c r="A56" s="101" t="s">
        <v>125</v>
      </c>
      <c r="J56" s="19">
        <f t="shared" si="6"/>
        <v>13</v>
      </c>
      <c r="K56" s="131">
        <f t="shared" si="7"/>
        <v>-2200</v>
      </c>
      <c r="L56" s="19"/>
      <c r="M56" s="196">
        <f t="shared" si="5"/>
        <v>-2200</v>
      </c>
    </row>
    <row r="57" spans="1:13" ht="18">
      <c r="A57" s="43" t="s">
        <v>126</v>
      </c>
      <c r="B57" s="76"/>
      <c r="C57" s="43"/>
      <c r="E57" s="137">
        <f xml:space="preserve"> - FV(D32,D28,B39,,1)</f>
        <v>-27460.650998294983</v>
      </c>
      <c r="J57" s="19">
        <f t="shared" si="6"/>
        <v>14</v>
      </c>
      <c r="K57" s="131">
        <f t="shared" si="7"/>
        <v>-2200</v>
      </c>
      <c r="L57" s="19"/>
      <c r="M57" s="196">
        <f t="shared" si="5"/>
        <v>-2200</v>
      </c>
    </row>
    <row r="58" spans="1:13" ht="18">
      <c r="A58" s="43" t="s">
        <v>128</v>
      </c>
      <c r="B58" s="76"/>
      <c r="C58" s="76"/>
      <c r="E58" s="138">
        <f>D34</f>
        <v>6600</v>
      </c>
      <c r="J58" s="19">
        <f t="shared" si="6"/>
        <v>15</v>
      </c>
      <c r="K58" s="131">
        <f t="shared" si="7"/>
        <v>-2200</v>
      </c>
      <c r="L58" s="19"/>
      <c r="M58" s="196">
        <f t="shared" si="5"/>
        <v>-2200</v>
      </c>
    </row>
    <row r="59" spans="1:13" ht="18">
      <c r="A59" s="43" t="s">
        <v>129</v>
      </c>
      <c r="B59" s="76"/>
      <c r="C59" s="76"/>
      <c r="E59" s="141">
        <f>E57+E58</f>
        <v>-20860.650998294983</v>
      </c>
      <c r="F59" s="47"/>
      <c r="J59" s="19">
        <f t="shared" si="6"/>
        <v>16</v>
      </c>
      <c r="K59" s="131">
        <f t="shared" si="7"/>
        <v>-2200</v>
      </c>
      <c r="L59" s="19"/>
      <c r="M59" s="196">
        <f t="shared" si="5"/>
        <v>-2200</v>
      </c>
    </row>
    <row r="60" spans="1:13" ht="18">
      <c r="A60" s="76" t="s">
        <v>148</v>
      </c>
      <c r="B60" s="76"/>
      <c r="C60" s="76"/>
      <c r="E60" s="139">
        <f>(1+$D$24)^-1</f>
        <v>0.93023255813953487</v>
      </c>
      <c r="J60" s="19">
        <f t="shared" si="6"/>
        <v>17</v>
      </c>
      <c r="K60" s="131">
        <f t="shared" si="7"/>
        <v>-2200</v>
      </c>
      <c r="L60" s="19"/>
      <c r="M60" s="196">
        <f t="shared" si="5"/>
        <v>-2200</v>
      </c>
    </row>
    <row r="61" spans="1:13" ht="18">
      <c r="A61" s="43" t="s">
        <v>149</v>
      </c>
      <c r="B61" s="76"/>
      <c r="C61" s="76"/>
      <c r="E61" s="140">
        <f>E59*E60</f>
        <v>-19405.256742599984</v>
      </c>
      <c r="F61" s="47" t="s">
        <v>201</v>
      </c>
      <c r="J61" s="19">
        <f t="shared" si="6"/>
        <v>18</v>
      </c>
      <c r="K61" s="131">
        <f t="shared" si="7"/>
        <v>-2200</v>
      </c>
      <c r="L61" s="19"/>
      <c r="M61" s="196">
        <f t="shared" si="5"/>
        <v>-2200</v>
      </c>
    </row>
    <row r="62" spans="1:13">
      <c r="J62" s="19">
        <f t="shared" si="6"/>
        <v>19</v>
      </c>
      <c r="K62" s="131">
        <f t="shared" si="7"/>
        <v>-2200</v>
      </c>
      <c r="L62" s="19"/>
      <c r="M62" s="196">
        <f t="shared" si="5"/>
        <v>-2200</v>
      </c>
    </row>
    <row r="63" spans="1:13" ht="15.6">
      <c r="A63" s="46"/>
      <c r="D63" s="136"/>
      <c r="J63" s="19">
        <f t="shared" si="6"/>
        <v>20</v>
      </c>
      <c r="K63" s="131">
        <f t="shared" si="7"/>
        <v>-2200</v>
      </c>
      <c r="L63" s="19"/>
      <c r="M63" s="196">
        <f t="shared" si="5"/>
        <v>-2200</v>
      </c>
    </row>
    <row r="64" spans="1:13">
      <c r="J64" s="19">
        <f t="shared" si="6"/>
        <v>21</v>
      </c>
      <c r="K64" s="131">
        <f t="shared" si="7"/>
        <v>-2200</v>
      </c>
      <c r="L64" s="19"/>
      <c r="M64" s="196">
        <f t="shared" si="5"/>
        <v>-2200</v>
      </c>
    </row>
    <row r="65" spans="10:13">
      <c r="J65" s="19">
        <f t="shared" si="6"/>
        <v>22</v>
      </c>
      <c r="K65" s="131">
        <f t="shared" si="7"/>
        <v>-2200</v>
      </c>
      <c r="L65" s="19"/>
      <c r="M65" s="196">
        <f t="shared" si="5"/>
        <v>-2200</v>
      </c>
    </row>
    <row r="66" spans="10:13">
      <c r="J66" s="19">
        <f t="shared" si="6"/>
        <v>23</v>
      </c>
      <c r="K66" s="131">
        <f t="shared" si="7"/>
        <v>-2200</v>
      </c>
      <c r="L66" s="19"/>
      <c r="M66" s="196">
        <f t="shared" si="5"/>
        <v>-2200</v>
      </c>
    </row>
    <row r="67" spans="10:13">
      <c r="J67" s="19">
        <f t="shared" si="6"/>
        <v>24</v>
      </c>
      <c r="K67" s="131">
        <f t="shared" si="7"/>
        <v>-2200</v>
      </c>
      <c r="L67" s="131">
        <f>L55</f>
        <v>6600</v>
      </c>
      <c r="M67" s="196">
        <f t="shared" si="5"/>
        <v>4400</v>
      </c>
    </row>
    <row r="68" spans="10:13">
      <c r="J68" s="19">
        <f t="shared" si="6"/>
        <v>25</v>
      </c>
      <c r="K68" s="131">
        <f t="shared" si="7"/>
        <v>-2200</v>
      </c>
      <c r="L68" s="19"/>
      <c r="M68" s="196">
        <f t="shared" si="5"/>
        <v>-2200</v>
      </c>
    </row>
    <row r="69" spans="10:13">
      <c r="J69" s="19">
        <f t="shared" si="6"/>
        <v>26</v>
      </c>
      <c r="K69" s="131">
        <f t="shared" si="7"/>
        <v>-2200</v>
      </c>
      <c r="L69" s="19"/>
      <c r="M69" s="196">
        <f t="shared" si="5"/>
        <v>-2200</v>
      </c>
    </row>
    <row r="70" spans="10:13">
      <c r="J70" s="19">
        <f t="shared" si="6"/>
        <v>27</v>
      </c>
      <c r="K70" s="131">
        <f t="shared" si="7"/>
        <v>-2200</v>
      </c>
      <c r="L70" s="19"/>
      <c r="M70" s="196">
        <f t="shared" si="5"/>
        <v>-2200</v>
      </c>
    </row>
    <row r="71" spans="10:13">
      <c r="J71" s="19">
        <f t="shared" si="6"/>
        <v>28</v>
      </c>
      <c r="K71" s="131">
        <f t="shared" si="7"/>
        <v>-2200</v>
      </c>
      <c r="L71" s="19"/>
      <c r="M71" s="196">
        <f t="shared" si="5"/>
        <v>-2200</v>
      </c>
    </row>
    <row r="72" spans="10:13">
      <c r="J72" s="19">
        <f t="shared" si="6"/>
        <v>29</v>
      </c>
      <c r="K72" s="131">
        <f t="shared" si="7"/>
        <v>-2200</v>
      </c>
      <c r="L72" s="19"/>
      <c r="M72" s="196">
        <f t="shared" si="5"/>
        <v>-2200</v>
      </c>
    </row>
    <row r="73" spans="10:13">
      <c r="J73" s="19">
        <f t="shared" si="6"/>
        <v>30</v>
      </c>
      <c r="K73" s="131">
        <f t="shared" si="7"/>
        <v>-2200</v>
      </c>
      <c r="L73" s="19"/>
      <c r="M73" s="196">
        <f t="shared" si="5"/>
        <v>-2200</v>
      </c>
    </row>
    <row r="74" spans="10:13">
      <c r="J74" s="19">
        <f t="shared" si="6"/>
        <v>31</v>
      </c>
      <c r="K74" s="131">
        <f t="shared" si="7"/>
        <v>-2200</v>
      </c>
      <c r="L74" s="19"/>
      <c r="M74" s="196">
        <f t="shared" si="5"/>
        <v>-2200</v>
      </c>
    </row>
    <row r="75" spans="10:13">
      <c r="J75" s="19">
        <f t="shared" si="6"/>
        <v>32</v>
      </c>
      <c r="K75" s="131">
        <f t="shared" si="7"/>
        <v>-2200</v>
      </c>
      <c r="L75" s="19"/>
      <c r="M75" s="196">
        <f t="shared" si="5"/>
        <v>-2200</v>
      </c>
    </row>
    <row r="76" spans="10:13">
      <c r="J76" s="19">
        <f t="shared" si="6"/>
        <v>33</v>
      </c>
      <c r="K76" s="131">
        <f t="shared" si="7"/>
        <v>-2200</v>
      </c>
      <c r="L76" s="19"/>
      <c r="M76" s="196">
        <f t="shared" si="5"/>
        <v>-2200</v>
      </c>
    </row>
    <row r="77" spans="10:13">
      <c r="J77" s="19">
        <f t="shared" si="6"/>
        <v>34</v>
      </c>
      <c r="K77" s="131">
        <f t="shared" si="7"/>
        <v>-2200</v>
      </c>
      <c r="L77" s="19"/>
      <c r="M77" s="196">
        <f t="shared" si="5"/>
        <v>-2200</v>
      </c>
    </row>
    <row r="78" spans="10:13">
      <c r="J78" s="19">
        <f t="shared" si="6"/>
        <v>35</v>
      </c>
      <c r="K78" s="131">
        <f t="shared" si="7"/>
        <v>-2200</v>
      </c>
      <c r="L78" s="19"/>
      <c r="M78" s="196">
        <f t="shared" si="5"/>
        <v>-2200</v>
      </c>
    </row>
    <row r="79" spans="10:13">
      <c r="J79" s="19">
        <f t="shared" si="6"/>
        <v>36</v>
      </c>
      <c r="K79" s="131">
        <f t="shared" si="7"/>
        <v>-2200</v>
      </c>
      <c r="L79" s="131">
        <f>L67</f>
        <v>6600</v>
      </c>
      <c r="M79" s="196">
        <f t="shared" si="5"/>
        <v>4400</v>
      </c>
    </row>
    <row r="80" spans="10:13">
      <c r="J80" s="19">
        <f t="shared" si="6"/>
        <v>37</v>
      </c>
      <c r="K80" s="131">
        <f t="shared" si="7"/>
        <v>-2200</v>
      </c>
      <c r="L80" s="19"/>
      <c r="M80" s="196">
        <f t="shared" si="5"/>
        <v>-2200</v>
      </c>
    </row>
    <row r="81" spans="10:13">
      <c r="J81" s="19">
        <f t="shared" si="6"/>
        <v>38</v>
      </c>
      <c r="K81" s="131">
        <f t="shared" si="7"/>
        <v>-2200</v>
      </c>
      <c r="L81" s="19"/>
      <c r="M81" s="196">
        <f t="shared" si="5"/>
        <v>-2200</v>
      </c>
    </row>
    <row r="82" spans="10:13">
      <c r="J82" s="19">
        <f t="shared" si="6"/>
        <v>39</v>
      </c>
      <c r="K82" s="131">
        <f t="shared" si="7"/>
        <v>-2200</v>
      </c>
      <c r="L82" s="19"/>
      <c r="M82" s="196">
        <f t="shared" si="5"/>
        <v>-2200</v>
      </c>
    </row>
    <row r="83" spans="10:13">
      <c r="J83" s="19">
        <f t="shared" si="6"/>
        <v>40</v>
      </c>
      <c r="K83" s="131">
        <f t="shared" si="7"/>
        <v>-2200</v>
      </c>
      <c r="L83" s="19"/>
      <c r="M83" s="196">
        <f t="shared" si="5"/>
        <v>-2200</v>
      </c>
    </row>
    <row r="84" spans="10:13">
      <c r="J84" s="19">
        <f t="shared" si="6"/>
        <v>41</v>
      </c>
      <c r="K84" s="131">
        <f t="shared" si="7"/>
        <v>-2200</v>
      </c>
      <c r="L84" s="19"/>
      <c r="M84" s="196">
        <f t="shared" si="5"/>
        <v>-2200</v>
      </c>
    </row>
    <row r="85" spans="10:13">
      <c r="J85" s="19">
        <f t="shared" si="6"/>
        <v>42</v>
      </c>
      <c r="K85" s="131">
        <f t="shared" si="7"/>
        <v>-2200</v>
      </c>
      <c r="L85" s="19"/>
      <c r="M85" s="196">
        <f t="shared" si="5"/>
        <v>-2200</v>
      </c>
    </row>
    <row r="86" spans="10:13">
      <c r="J86" s="19">
        <f t="shared" si="6"/>
        <v>43</v>
      </c>
      <c r="K86" s="131">
        <f t="shared" si="7"/>
        <v>-2200</v>
      </c>
      <c r="L86" s="19"/>
      <c r="M86" s="196">
        <f t="shared" si="5"/>
        <v>-2200</v>
      </c>
    </row>
    <row r="87" spans="10:13">
      <c r="J87" s="19">
        <f t="shared" si="6"/>
        <v>44</v>
      </c>
      <c r="K87" s="131">
        <f t="shared" si="7"/>
        <v>-2200</v>
      </c>
      <c r="L87" s="19"/>
      <c r="M87" s="196">
        <f t="shared" si="5"/>
        <v>-2200</v>
      </c>
    </row>
    <row r="88" spans="10:13">
      <c r="J88" s="19">
        <f t="shared" si="6"/>
        <v>45</v>
      </c>
      <c r="K88" s="131">
        <f t="shared" si="7"/>
        <v>-2200</v>
      </c>
      <c r="L88" s="19"/>
      <c r="M88" s="196">
        <f t="shared" si="5"/>
        <v>-2200</v>
      </c>
    </row>
    <row r="89" spans="10:13">
      <c r="J89" s="19">
        <f t="shared" si="6"/>
        <v>46</v>
      </c>
      <c r="K89" s="131">
        <f t="shared" si="7"/>
        <v>-2200</v>
      </c>
      <c r="L89" s="19"/>
      <c r="M89" s="196">
        <f t="shared" si="5"/>
        <v>-2200</v>
      </c>
    </row>
    <row r="90" spans="10:13">
      <c r="J90" s="19">
        <f t="shared" si="6"/>
        <v>47</v>
      </c>
      <c r="K90" s="131">
        <f t="shared" si="7"/>
        <v>-2200</v>
      </c>
      <c r="L90" s="19"/>
      <c r="M90" s="196">
        <f t="shared" si="5"/>
        <v>-2200</v>
      </c>
    </row>
    <row r="91" spans="10:13">
      <c r="J91" s="19">
        <f t="shared" si="6"/>
        <v>48</v>
      </c>
      <c r="K91" s="131">
        <f t="shared" si="7"/>
        <v>-2200</v>
      </c>
      <c r="L91" s="131">
        <f>L79</f>
        <v>6600</v>
      </c>
      <c r="M91" s="196">
        <f t="shared" si="5"/>
        <v>4400</v>
      </c>
    </row>
    <row r="92" spans="10:13">
      <c r="J92" s="19">
        <f t="shared" si="6"/>
        <v>49</v>
      </c>
      <c r="K92" s="131">
        <f t="shared" si="7"/>
        <v>-2200</v>
      </c>
      <c r="L92" s="19"/>
      <c r="M92" s="196">
        <f t="shared" si="5"/>
        <v>-2200</v>
      </c>
    </row>
    <row r="93" spans="10:13">
      <c r="J93" s="19">
        <f t="shared" si="6"/>
        <v>50</v>
      </c>
      <c r="K93" s="131">
        <f t="shared" si="7"/>
        <v>-2200</v>
      </c>
      <c r="L93" s="19"/>
      <c r="M93" s="196">
        <f t="shared" si="5"/>
        <v>-2200</v>
      </c>
    </row>
    <row r="94" spans="10:13">
      <c r="J94" s="19">
        <f t="shared" si="6"/>
        <v>51</v>
      </c>
      <c r="K94" s="131">
        <f t="shared" si="7"/>
        <v>-2200</v>
      </c>
      <c r="L94" s="19"/>
      <c r="M94" s="196">
        <f t="shared" si="5"/>
        <v>-2200</v>
      </c>
    </row>
    <row r="95" spans="10:13">
      <c r="J95" s="19">
        <f t="shared" si="6"/>
        <v>52</v>
      </c>
      <c r="K95" s="131">
        <f t="shared" si="7"/>
        <v>-2200</v>
      </c>
      <c r="L95" s="19"/>
      <c r="M95" s="196">
        <f t="shared" si="5"/>
        <v>-2200</v>
      </c>
    </row>
    <row r="96" spans="10:13">
      <c r="J96" s="19">
        <f t="shared" si="6"/>
        <v>53</v>
      </c>
      <c r="K96" s="131">
        <f t="shared" si="7"/>
        <v>-2200</v>
      </c>
      <c r="L96" s="19"/>
      <c r="M96" s="196">
        <f t="shared" si="5"/>
        <v>-2200</v>
      </c>
    </row>
    <row r="97" spans="10:13">
      <c r="J97" s="19">
        <f t="shared" si="6"/>
        <v>54</v>
      </c>
      <c r="K97" s="131">
        <f t="shared" si="7"/>
        <v>-2200</v>
      </c>
      <c r="L97" s="19"/>
      <c r="M97" s="196">
        <f t="shared" si="5"/>
        <v>-2200</v>
      </c>
    </row>
    <row r="98" spans="10:13">
      <c r="J98" s="19">
        <f t="shared" si="6"/>
        <v>55</v>
      </c>
      <c r="K98" s="131">
        <f t="shared" si="7"/>
        <v>-2200</v>
      </c>
      <c r="L98" s="19"/>
      <c r="M98" s="196">
        <f t="shared" si="5"/>
        <v>-2200</v>
      </c>
    </row>
    <row r="99" spans="10:13">
      <c r="J99" s="19">
        <f t="shared" si="6"/>
        <v>56</v>
      </c>
      <c r="K99" s="131">
        <f t="shared" si="7"/>
        <v>-2200</v>
      </c>
      <c r="L99" s="19"/>
      <c r="M99" s="196">
        <f t="shared" si="5"/>
        <v>-2200</v>
      </c>
    </row>
    <row r="100" spans="10:13">
      <c r="J100" s="19">
        <f t="shared" si="6"/>
        <v>57</v>
      </c>
      <c r="K100" s="131">
        <f t="shared" si="7"/>
        <v>-2200</v>
      </c>
      <c r="L100" s="19"/>
      <c r="M100" s="196">
        <f t="shared" si="5"/>
        <v>-2200</v>
      </c>
    </row>
    <row r="101" spans="10:13">
      <c r="J101" s="19">
        <f t="shared" si="6"/>
        <v>58</v>
      </c>
      <c r="K101" s="131">
        <f t="shared" si="7"/>
        <v>-2200</v>
      </c>
      <c r="L101" s="19"/>
      <c r="M101" s="196">
        <f t="shared" si="5"/>
        <v>-2200</v>
      </c>
    </row>
    <row r="102" spans="10:13">
      <c r="J102" s="19">
        <f t="shared" si="6"/>
        <v>59</v>
      </c>
      <c r="K102" s="131">
        <f t="shared" si="7"/>
        <v>-2200</v>
      </c>
      <c r="L102" s="19"/>
      <c r="M102" s="196">
        <f t="shared" si="5"/>
        <v>-2200</v>
      </c>
    </row>
    <row r="103" spans="10:13">
      <c r="J103" s="20">
        <f t="shared" si="6"/>
        <v>60</v>
      </c>
      <c r="K103" s="20"/>
      <c r="L103" s="133">
        <f>L91</f>
        <v>6600</v>
      </c>
      <c r="M103" s="197">
        <f t="shared" si="5"/>
        <v>6600</v>
      </c>
    </row>
    <row r="105" spans="10:13" ht="15.6">
      <c r="K105" s="46"/>
      <c r="L105" s="183" t="s">
        <v>124</v>
      </c>
      <c r="M105" s="184">
        <f xml:space="preserve"> M43 +NPV(D32,M44:M103)</f>
        <v>-84399.792919804473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A25" sqref="A25"/>
    </sheetView>
  </sheetViews>
  <sheetFormatPr defaultRowHeight="14.4"/>
  <cols>
    <col min="1" max="1" width="9.44140625" customWidth="1"/>
    <col min="2" max="2" width="9.5546875" customWidth="1"/>
    <col min="3" max="4" width="9.44140625" customWidth="1"/>
    <col min="5" max="5" width="10.44140625" customWidth="1"/>
    <col min="6" max="6" width="9.44140625" customWidth="1"/>
  </cols>
  <sheetData>
    <row r="1" spans="1:6" ht="21">
      <c r="A1" s="25" t="s">
        <v>209</v>
      </c>
    </row>
    <row r="3" spans="1:6" ht="15.6">
      <c r="A3" s="47" t="s">
        <v>132</v>
      </c>
      <c r="B3" s="47"/>
      <c r="C3" s="98">
        <f>Leasing!D5</f>
        <v>100000</v>
      </c>
      <c r="D3" s="47"/>
      <c r="E3" s="47"/>
      <c r="F3" s="47"/>
    </row>
    <row r="4" spans="1:6" ht="15.6">
      <c r="A4" s="47" t="s">
        <v>133</v>
      </c>
      <c r="B4" s="47"/>
      <c r="C4" s="100">
        <v>0.25</v>
      </c>
      <c r="D4" s="47"/>
      <c r="E4" s="47"/>
      <c r="F4" s="47"/>
    </row>
    <row r="5" spans="1:6" ht="15.6">
      <c r="A5" s="47" t="s">
        <v>110</v>
      </c>
      <c r="B5" s="47"/>
      <c r="C5" s="100">
        <f>Leasing!D10</f>
        <v>0.25</v>
      </c>
      <c r="D5" s="47"/>
      <c r="E5" s="47"/>
      <c r="F5" s="47"/>
    </row>
    <row r="6" spans="1:6" ht="15.6">
      <c r="A6" s="47" t="s">
        <v>151</v>
      </c>
      <c r="B6" s="47"/>
      <c r="C6" s="99">
        <f>Leasing!D24</f>
        <v>7.5000000000000011E-2</v>
      </c>
      <c r="D6" s="47"/>
      <c r="E6" s="47"/>
      <c r="F6" s="47"/>
    </row>
    <row r="7" spans="1:6" ht="15.6">
      <c r="A7" s="47"/>
      <c r="B7" s="47"/>
      <c r="C7" s="47"/>
      <c r="D7" s="47"/>
      <c r="E7" s="47"/>
      <c r="F7" s="47"/>
    </row>
    <row r="8" spans="1:6" ht="15.6">
      <c r="A8" s="47"/>
      <c r="B8" s="47"/>
      <c r="C8" s="47"/>
      <c r="D8" s="47"/>
      <c r="E8" s="47"/>
      <c r="F8" s="47"/>
    </row>
    <row r="9" spans="1:6" ht="15.6">
      <c r="A9" s="104" t="s">
        <v>3</v>
      </c>
      <c r="B9" s="106" t="s">
        <v>158</v>
      </c>
      <c r="C9" s="106" t="s">
        <v>160</v>
      </c>
      <c r="D9" s="105" t="s">
        <v>134</v>
      </c>
      <c r="E9" s="106" t="s">
        <v>136</v>
      </c>
      <c r="F9" s="106" t="s">
        <v>4</v>
      </c>
    </row>
    <row r="10" spans="1:6" ht="15.6">
      <c r="A10" s="107"/>
      <c r="B10" s="109" t="s">
        <v>159</v>
      </c>
      <c r="C10" s="109" t="s">
        <v>161</v>
      </c>
      <c r="D10" s="108" t="s">
        <v>135</v>
      </c>
      <c r="E10" s="109" t="s">
        <v>137</v>
      </c>
      <c r="F10" s="110"/>
    </row>
    <row r="11" spans="1:6" ht="15.6">
      <c r="A11" s="111"/>
      <c r="B11" s="128" t="s">
        <v>81</v>
      </c>
      <c r="C11" s="113">
        <f>C4</f>
        <v>0.25</v>
      </c>
      <c r="D11" s="113">
        <f>C5</f>
        <v>0.25</v>
      </c>
      <c r="E11" s="112"/>
      <c r="F11" s="112"/>
    </row>
    <row r="12" spans="1:6" ht="15.6">
      <c r="A12" s="104">
        <v>1</v>
      </c>
      <c r="B12" s="114">
        <f>C3</f>
        <v>100000</v>
      </c>
      <c r="C12" s="153">
        <f>B12*$C$4</f>
        <v>25000</v>
      </c>
      <c r="D12" s="153">
        <f>C12*$C$5</f>
        <v>6250</v>
      </c>
      <c r="E12" s="156">
        <f>(1+$C$6)^-A12</f>
        <v>0.93023255813953487</v>
      </c>
      <c r="F12" s="153">
        <f>D12*E12</f>
        <v>5813.9534883720926</v>
      </c>
    </row>
    <row r="13" spans="1:6" ht="15.6">
      <c r="A13" s="115">
        <f>A12+1</f>
        <v>2</v>
      </c>
      <c r="B13" s="116">
        <f>B12-C12</f>
        <v>75000</v>
      </c>
      <c r="C13" s="154">
        <f t="shared" ref="C13:C14" si="0">B13*$C$4</f>
        <v>18750</v>
      </c>
      <c r="D13" s="154">
        <f t="shared" ref="D13:D16" si="1">C13*$C$5</f>
        <v>4687.5</v>
      </c>
      <c r="E13" s="157">
        <f t="shared" ref="E13:E16" si="2">(1+$C$6)^-A13</f>
        <v>0.86533261222282321</v>
      </c>
      <c r="F13" s="154">
        <f t="shared" ref="F13:F16" si="3">D13*E13</f>
        <v>4056.2466197944836</v>
      </c>
    </row>
    <row r="14" spans="1:6" ht="15.6">
      <c r="A14" s="115">
        <f t="shared" ref="A14:A16" si="4">A13+1</f>
        <v>3</v>
      </c>
      <c r="B14" s="116">
        <f t="shared" ref="B14:B16" si="5">B13-C13</f>
        <v>56250</v>
      </c>
      <c r="C14" s="154">
        <f t="shared" si="0"/>
        <v>14062.5</v>
      </c>
      <c r="D14" s="154">
        <f t="shared" si="1"/>
        <v>3515.625</v>
      </c>
      <c r="E14" s="157">
        <f t="shared" si="2"/>
        <v>0.80496056950960304</v>
      </c>
      <c r="F14" s="154">
        <f t="shared" si="3"/>
        <v>2829.9395021821983</v>
      </c>
    </row>
    <row r="15" spans="1:6" ht="15.6">
      <c r="A15" s="115">
        <f t="shared" si="4"/>
        <v>4</v>
      </c>
      <c r="B15" s="116">
        <f t="shared" si="5"/>
        <v>42187.5</v>
      </c>
      <c r="C15" s="154">
        <f>B15*$C$4</f>
        <v>10546.875</v>
      </c>
      <c r="D15" s="154">
        <f t="shared" si="1"/>
        <v>2636.71875</v>
      </c>
      <c r="E15" s="157">
        <f t="shared" si="2"/>
        <v>0.7488005297763749</v>
      </c>
      <c r="F15" s="154">
        <f t="shared" si="3"/>
        <v>1974.376396871301</v>
      </c>
    </row>
    <row r="16" spans="1:6" ht="15.6">
      <c r="A16" s="117">
        <f t="shared" si="4"/>
        <v>5</v>
      </c>
      <c r="B16" s="118">
        <f t="shared" si="5"/>
        <v>31640.625</v>
      </c>
      <c r="C16" s="155">
        <f>B16</f>
        <v>31640.625</v>
      </c>
      <c r="D16" s="155">
        <f t="shared" si="1"/>
        <v>7910.15625</v>
      </c>
      <c r="E16" s="158">
        <f t="shared" si="2"/>
        <v>0.69655863235011617</v>
      </c>
      <c r="F16" s="155">
        <f t="shared" si="3"/>
        <v>5509.8876191757236</v>
      </c>
    </row>
    <row r="17" spans="1:6" ht="18">
      <c r="A17" s="203" t="s">
        <v>155</v>
      </c>
      <c r="B17" s="204"/>
      <c r="C17" s="204"/>
      <c r="D17" s="204"/>
      <c r="E17" s="205"/>
      <c r="F17" s="185">
        <f>SUM(F12:F16)</f>
        <v>20184.403626395801</v>
      </c>
    </row>
    <row r="18" spans="1:6" ht="15.6">
      <c r="A18" s="47"/>
      <c r="B18" s="47"/>
      <c r="C18" s="47"/>
      <c r="D18" s="47"/>
      <c r="E18" s="47"/>
      <c r="F18" s="47"/>
    </row>
    <row r="19" spans="1:6" ht="15.6">
      <c r="A19" s="101" t="s">
        <v>203</v>
      </c>
      <c r="B19" s="47"/>
      <c r="C19" s="47"/>
      <c r="D19" s="47"/>
      <c r="E19" s="47"/>
      <c r="F19" s="47"/>
    </row>
    <row r="20" spans="1:6" ht="15.6">
      <c r="A20" s="47"/>
      <c r="B20" s="47" t="s">
        <v>108</v>
      </c>
      <c r="C20" s="47"/>
      <c r="D20" s="47"/>
      <c r="E20" s="98">
        <f>C3</f>
        <v>100000</v>
      </c>
      <c r="F20" s="47"/>
    </row>
    <row r="21" spans="1:6" ht="15.6">
      <c r="A21" s="47"/>
      <c r="B21" s="47" t="s">
        <v>138</v>
      </c>
      <c r="C21" s="47"/>
      <c r="D21" s="47"/>
      <c r="E21" s="47"/>
      <c r="F21" s="47"/>
    </row>
    <row r="22" spans="1:6" ht="15.6">
      <c r="A22" s="47"/>
      <c r="B22" s="47" t="s">
        <v>139</v>
      </c>
      <c r="C22" s="47"/>
      <c r="D22" s="47"/>
      <c r="E22" s="186">
        <f>F17</f>
        <v>20184.403626395801</v>
      </c>
      <c r="F22" s="47"/>
    </row>
    <row r="23" spans="1:6" ht="18">
      <c r="A23" s="47"/>
      <c r="B23" s="47" t="s">
        <v>204</v>
      </c>
      <c r="C23" s="47"/>
      <c r="D23" s="47"/>
      <c r="E23" s="147">
        <f>E20-E22</f>
        <v>79815.596373604203</v>
      </c>
      <c r="F23" s="210" t="s">
        <v>207</v>
      </c>
    </row>
    <row r="24" spans="1:6" ht="15.6">
      <c r="A24" s="47"/>
      <c r="B24" s="47"/>
      <c r="C24" s="47"/>
      <c r="D24" s="47"/>
      <c r="E24" s="47"/>
      <c r="F24" s="47"/>
    </row>
    <row r="25" spans="1:6" ht="18">
      <c r="A25" s="47" t="s">
        <v>205</v>
      </c>
      <c r="B25" s="47"/>
      <c r="C25" s="47"/>
      <c r="D25" s="47"/>
      <c r="E25" s="147">
        <f xml:space="preserve"> -Leasing!F54</f>
        <v>84399.79291984142</v>
      </c>
      <c r="F25" s="211" t="s">
        <v>208</v>
      </c>
    </row>
    <row r="28" spans="1:6" ht="21">
      <c r="A28" s="25" t="s">
        <v>153</v>
      </c>
    </row>
    <row r="29" spans="1:6">
      <c r="A29" t="s">
        <v>210</v>
      </c>
    </row>
    <row r="30" spans="1:6" ht="15.6">
      <c r="B30" s="106" t="s">
        <v>3</v>
      </c>
      <c r="C30" s="120" t="s">
        <v>140</v>
      </c>
      <c r="D30" s="105" t="s">
        <v>140</v>
      </c>
      <c r="E30" s="125"/>
    </row>
    <row r="31" spans="1:6" ht="15.6">
      <c r="B31" s="109"/>
      <c r="C31" s="121" t="s">
        <v>141</v>
      </c>
      <c r="D31" s="108" t="s">
        <v>141</v>
      </c>
      <c r="E31" s="108"/>
    </row>
    <row r="32" spans="1:6" ht="15.6">
      <c r="B32" s="128"/>
      <c r="C32" s="124" t="s">
        <v>143</v>
      </c>
      <c r="D32" s="126" t="s">
        <v>144</v>
      </c>
      <c r="E32" s="126" t="s">
        <v>142</v>
      </c>
    </row>
    <row r="33" spans="1:8" ht="15.6">
      <c r="B33" s="19">
        <v>0</v>
      </c>
      <c r="C33" s="122">
        <f>-C3</f>
        <v>-100000</v>
      </c>
      <c r="D33" s="108"/>
      <c r="E33" s="116">
        <f>C33-D33</f>
        <v>-100000</v>
      </c>
    </row>
    <row r="34" spans="1:8" ht="15.6">
      <c r="B34" s="109">
        <f>A12</f>
        <v>1</v>
      </c>
      <c r="C34" s="122">
        <f>D12</f>
        <v>6250</v>
      </c>
      <c r="D34" s="116">
        <f>Leasing!$E$59</f>
        <v>-20860.650998294983</v>
      </c>
      <c r="E34" s="116">
        <f t="shared" ref="E34:E38" si="6">C34-D34</f>
        <v>27110.650998294983</v>
      </c>
      <c r="G34" s="47" t="s">
        <v>199</v>
      </c>
    </row>
    <row r="35" spans="1:8" ht="15.6">
      <c r="B35" s="109">
        <f>A13</f>
        <v>2</v>
      </c>
      <c r="C35" s="122">
        <f>D13</f>
        <v>4687.5</v>
      </c>
      <c r="D35" s="116">
        <f>Leasing!$E$59</f>
        <v>-20860.650998294983</v>
      </c>
      <c r="E35" s="116">
        <f t="shared" si="6"/>
        <v>25548.150998294983</v>
      </c>
      <c r="G35" s="47" t="s">
        <v>200</v>
      </c>
    </row>
    <row r="36" spans="1:8" ht="15.6">
      <c r="B36" s="109">
        <f>A14</f>
        <v>3</v>
      </c>
      <c r="C36" s="122">
        <f>D14</f>
        <v>3515.625</v>
      </c>
      <c r="D36" s="116">
        <f>Leasing!$E$59</f>
        <v>-20860.650998294983</v>
      </c>
      <c r="E36" s="116">
        <f t="shared" si="6"/>
        <v>24376.275998294983</v>
      </c>
    </row>
    <row r="37" spans="1:8" ht="15.6">
      <c r="B37" s="109">
        <f>A15</f>
        <v>4</v>
      </c>
      <c r="C37" s="122">
        <f>D15</f>
        <v>2636.71875</v>
      </c>
      <c r="D37" s="116">
        <f>Leasing!$E$59</f>
        <v>-20860.650998294983</v>
      </c>
      <c r="E37" s="116">
        <f t="shared" si="6"/>
        <v>23497.369748294983</v>
      </c>
    </row>
    <row r="38" spans="1:8" ht="15.6">
      <c r="B38" s="128">
        <f>A16</f>
        <v>5</v>
      </c>
      <c r="C38" s="123">
        <f>D16</f>
        <v>7910.15625</v>
      </c>
      <c r="D38" s="118">
        <f>Leasing!$E$59</f>
        <v>-20860.650998294983</v>
      </c>
      <c r="E38" s="118">
        <f t="shared" si="6"/>
        <v>28770.807248294983</v>
      </c>
    </row>
    <row r="39" spans="1:8" ht="18">
      <c r="B39" s="129"/>
      <c r="C39" s="69"/>
      <c r="D39" s="127" t="s">
        <v>1</v>
      </c>
      <c r="E39" s="146">
        <f>IRR(E33:E38)</f>
        <v>9.2092588729863104E-2</v>
      </c>
      <c r="F39" s="142"/>
      <c r="G39" s="142"/>
      <c r="H39" s="142"/>
    </row>
    <row r="40" spans="1:8" ht="15.6">
      <c r="F40" s="47"/>
      <c r="G40" s="47"/>
      <c r="H40" s="47"/>
    </row>
    <row r="41" spans="1:8" ht="15.6">
      <c r="A41" s="144" t="s">
        <v>206</v>
      </c>
    </row>
    <row r="42" spans="1:8" ht="15.6">
      <c r="A42" s="47" t="s">
        <v>146</v>
      </c>
    </row>
  </sheetData>
  <mergeCells count="1"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6. 3. 1 - 6. 3. 5 </vt:lpstr>
      <vt:lpstr>6. 3. 6. </vt:lpstr>
      <vt:lpstr>6. 4. </vt:lpstr>
      <vt:lpstr>6 .3..Nuværdimetoden</vt:lpstr>
      <vt:lpstr>Leasing</vt:lpstr>
      <vt:lpstr>Køb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HP_Administrator</dc:creator>
  <cp:lastModifiedBy>Lynggaard</cp:lastModifiedBy>
  <dcterms:created xsi:type="dcterms:W3CDTF">2011-06-17T07:19:42Z</dcterms:created>
  <dcterms:modified xsi:type="dcterms:W3CDTF">2013-10-17T09:22:08Z</dcterms:modified>
</cp:coreProperties>
</file>