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ørgen Just Andersen\Dropbox\Financialtra\Finansiel Risikostyring 2020\Slides mm til nettet\"/>
    </mc:Choice>
  </mc:AlternateContent>
  <xr:revisionPtr revIDLastSave="0" documentId="8_{DDAD19D1-515F-4A1F-9110-4C42D0DC3B63}" xr6:coauthVersionLast="45" xr6:coauthVersionMax="45" xr10:uidLastSave="{00000000-0000-0000-0000-000000000000}"/>
  <bookViews>
    <workbookView xWindow="-120" yWindow="-120" windowWidth="19440" windowHeight="15000" activeTab="4" xr2:uid="{00000000-000D-0000-FFFF-FFFF00000000}"/>
  </bookViews>
  <sheets>
    <sheet name="Tabel 2.1" sheetId="6" r:id="rId1"/>
    <sheet name="Tabel 2.3" sheetId="1" r:id="rId2"/>
    <sheet name="Tabel 2.4" sheetId="2" r:id="rId3"/>
    <sheet name="Tabel 2.5" sheetId="3" r:id="rId4"/>
    <sheet name="Figur 2.9 og tabel 2.7" sheetId="5" r:id="rId5"/>
  </sheets>
  <externalReferences>
    <externalReference r:id="rId6"/>
  </externalReferences>
  <definedNames>
    <definedName name="solver_adj" localSheetId="0" hidden="1">'Tabel 2.1'!$G$2</definedName>
    <definedName name="solver_adj" localSheetId="1" hidden="1">'Tabel 2.3'!$G$2</definedName>
    <definedName name="solver_adj" localSheetId="3" hidden="1">'Tabel 2.5'!$C$2</definedName>
    <definedName name="solver_cvg" localSheetId="0" hidden="1">0.0001</definedName>
    <definedName name="solver_cvg" localSheetId="1" hidden="1">0.0001</definedName>
    <definedName name="solver_cvg" localSheetId="3" hidden="1">0.0001</definedName>
    <definedName name="solver_drv" localSheetId="0" hidden="1">1</definedName>
    <definedName name="solver_drv" localSheetId="1" hidden="1">1</definedName>
    <definedName name="solver_drv" localSheetId="3" hidden="1">1</definedName>
    <definedName name="solver_eng" localSheetId="0" hidden="1">1</definedName>
    <definedName name="solver_eng" localSheetId="1" hidden="1">1</definedName>
    <definedName name="solver_eng" localSheetId="3" hidden="1">1</definedName>
    <definedName name="solver_est" localSheetId="0" hidden="1">1</definedName>
    <definedName name="solver_est" localSheetId="1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3" hidden="1">2147483647</definedName>
    <definedName name="solver_mip" localSheetId="0" hidden="1">2147483647</definedName>
    <definedName name="solver_mip" localSheetId="1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3" hidden="1">2147483647</definedName>
    <definedName name="solver_num" localSheetId="0" hidden="1">0</definedName>
    <definedName name="solver_num" localSheetId="1" hidden="1">0</definedName>
    <definedName name="solver_num" localSheetId="3" hidden="1">0</definedName>
    <definedName name="solver_nwt" localSheetId="0" hidden="1">1</definedName>
    <definedName name="solver_nwt" localSheetId="1" hidden="1">1</definedName>
    <definedName name="solver_nwt" localSheetId="3" hidden="1">1</definedName>
    <definedName name="solver_opt" localSheetId="0" hidden="1">'Tabel 2.1'!$E$26</definedName>
    <definedName name="solver_opt" localSheetId="1" hidden="1">'Tabel 2.3'!$E$26</definedName>
    <definedName name="solver_opt" localSheetId="3" hidden="1">'Tabel 2.5'!$F$13</definedName>
    <definedName name="solver_pre" localSheetId="0" hidden="1">0.000001</definedName>
    <definedName name="solver_pre" localSheetId="1" hidden="1">0.000001</definedName>
    <definedName name="solver_pre" localSheetId="3" hidden="1">0.000001</definedName>
    <definedName name="solver_rbv" localSheetId="0" hidden="1">1</definedName>
    <definedName name="solver_rbv" localSheetId="1" hidden="1">1</definedName>
    <definedName name="solver_rbv" localSheetId="3" hidden="1">1</definedName>
    <definedName name="solver_rlx" localSheetId="0" hidden="1">2</definedName>
    <definedName name="solver_rlx" localSheetId="1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3" hidden="1">0</definedName>
    <definedName name="solver_scl" localSheetId="0" hidden="1">1</definedName>
    <definedName name="solver_scl" localSheetId="1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3" hidden="1">0.01</definedName>
    <definedName name="solver_typ" localSheetId="0" hidden="1">3</definedName>
    <definedName name="solver_typ" localSheetId="1" hidden="1">3</definedName>
    <definedName name="solver_typ" localSheetId="3" hidden="1">3</definedName>
    <definedName name="solver_val" localSheetId="0" hidden="1">119.050003</definedName>
    <definedName name="solver_val" localSheetId="1" hidden="1">119.050003</definedName>
    <definedName name="solver_val" localSheetId="3" hidden="1">97.25</definedName>
    <definedName name="solver_ver" localSheetId="0" hidden="1">3</definedName>
    <definedName name="solver_ver" localSheetId="1" hidden="1">3</definedName>
    <definedName name="solver_ver" localSheetId="3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6" l="1"/>
  <c r="B16" i="6" s="1"/>
  <c r="B17" i="6" s="1"/>
  <c r="B18" i="6" s="1"/>
  <c r="B19" i="6" s="1"/>
  <c r="B20" i="6" s="1"/>
  <c r="B21" i="6" s="1"/>
  <c r="E14" i="6"/>
  <c r="C14" i="6"/>
  <c r="C15" i="6" s="1"/>
  <c r="G6" i="6"/>
  <c r="G10" i="6" s="1"/>
  <c r="E15" i="6" l="1"/>
  <c r="C16" i="6"/>
  <c r="E25" i="6"/>
  <c r="G11" i="6" s="1"/>
  <c r="E16" i="6" l="1"/>
  <c r="C17" i="6"/>
  <c r="E25" i="1"/>
  <c r="C20" i="1"/>
  <c r="C21" i="1" s="1"/>
  <c r="B20" i="1"/>
  <c r="B21" i="1" s="1"/>
  <c r="C18" i="6" l="1"/>
  <c r="E17" i="6"/>
  <c r="E21" i="1"/>
  <c r="E20" i="1"/>
  <c r="E18" i="6" l="1"/>
  <c r="C19" i="6"/>
  <c r="H20" i="1"/>
  <c r="H21" i="1"/>
  <c r="E19" i="6" l="1"/>
  <c r="C20" i="6"/>
  <c r="G30" i="5"/>
  <c r="G15" i="5"/>
  <c r="D15" i="5"/>
  <c r="H15" i="5" s="1"/>
  <c r="G14" i="5"/>
  <c r="D14" i="5"/>
  <c r="H14" i="5" s="1"/>
  <c r="G13" i="5"/>
  <c r="E13" i="5"/>
  <c r="I13" i="5" s="1"/>
  <c r="D13" i="5"/>
  <c r="H13" i="5" s="1"/>
  <c r="G11" i="3"/>
  <c r="G10" i="3"/>
  <c r="G9" i="3"/>
  <c r="F11" i="3"/>
  <c r="F10" i="3"/>
  <c r="F9" i="3"/>
  <c r="E20" i="6" l="1"/>
  <c r="C21" i="6"/>
  <c r="H17" i="5"/>
  <c r="H18" i="5" s="1"/>
  <c r="E14" i="5"/>
  <c r="I14" i="5" s="1"/>
  <c r="G17" i="5"/>
  <c r="E15" i="5"/>
  <c r="I15" i="5" s="1"/>
  <c r="I17" i="5" s="1"/>
  <c r="I18" i="5" s="1"/>
  <c r="G13" i="3"/>
  <c r="I11" i="3" s="1"/>
  <c r="K11" i="3" s="1"/>
  <c r="E21" i="6" l="1"/>
  <c r="I9" i="3"/>
  <c r="K9" i="3" s="1"/>
  <c r="I10" i="3"/>
  <c r="K10" i="3" s="1"/>
  <c r="F13" i="3"/>
  <c r="K11" i="2"/>
  <c r="I9" i="2"/>
  <c r="J9" i="2" s="1"/>
  <c r="I8" i="2"/>
  <c r="J8" i="2" s="1"/>
  <c r="I7" i="2"/>
  <c r="J7" i="2" s="1"/>
  <c r="F11" i="2"/>
  <c r="F9" i="2"/>
  <c r="F8" i="2"/>
  <c r="F7" i="2"/>
  <c r="G11" i="2" s="1"/>
  <c r="D11" i="2"/>
  <c r="E24" i="6" l="1"/>
  <c r="E22" i="6"/>
  <c r="H11" i="2"/>
  <c r="J11" i="2"/>
  <c r="I11" i="2"/>
  <c r="K13" i="3"/>
  <c r="H10" i="3"/>
  <c r="J10" i="3" s="1"/>
  <c r="H9" i="3"/>
  <c r="J9" i="3" s="1"/>
  <c r="H11" i="3"/>
  <c r="J11" i="3" s="1"/>
  <c r="C14" i="1"/>
  <c r="E26" i="6" l="1"/>
  <c r="F14" i="6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J13" i="3"/>
  <c r="F22" i="6" l="1"/>
  <c r="G14" i="6"/>
  <c r="G22" i="6" s="1"/>
  <c r="E28" i="6" s="1"/>
  <c r="E29" i="6" s="1"/>
  <c r="E30" i="6" s="1"/>
  <c r="G6" i="1"/>
  <c r="E14" i="1"/>
  <c r="B15" i="1"/>
  <c r="G11" i="1" l="1"/>
  <c r="G10" i="1"/>
  <c r="B16" i="1"/>
  <c r="H14" i="1"/>
  <c r="C15" i="1"/>
  <c r="B17" i="1" l="1"/>
  <c r="E15" i="1"/>
  <c r="C16" i="1"/>
  <c r="H15" i="1" l="1"/>
  <c r="B18" i="1"/>
  <c r="C17" i="1"/>
  <c r="E16" i="1"/>
  <c r="H16" i="1" s="1"/>
  <c r="B19" i="1" l="1"/>
  <c r="C18" i="1"/>
  <c r="E17" i="1"/>
  <c r="H17" i="1" s="1"/>
  <c r="C19" i="1" l="1"/>
  <c r="E19" i="1" s="1"/>
  <c r="H19" i="1" s="1"/>
  <c r="E18" i="1"/>
  <c r="H18" i="1" s="1"/>
  <c r="H22" i="1" l="1"/>
  <c r="E32" i="1" s="1"/>
  <c r="E24" i="1"/>
  <c r="E22" i="1"/>
  <c r="F20" i="1" l="1"/>
  <c r="G20" i="1" s="1"/>
  <c r="F21" i="1"/>
  <c r="G21" i="1" s="1"/>
  <c r="F14" i="1"/>
  <c r="E26" i="1"/>
  <c r="F19" i="1"/>
  <c r="G19" i="1" s="1"/>
  <c r="F15" i="1"/>
  <c r="G15" i="1" s="1"/>
  <c r="F16" i="1"/>
  <c r="G16" i="1" s="1"/>
  <c r="F17" i="1"/>
  <c r="G17" i="1" s="1"/>
  <c r="F18" i="1"/>
  <c r="G18" i="1" s="1"/>
  <c r="F22" i="1" l="1"/>
  <c r="G14" i="1"/>
  <c r="G22" i="1" l="1"/>
  <c r="E28" i="1" s="1"/>
  <c r="E29" i="1" s="1"/>
  <c r="E30" i="1" s="1"/>
</calcChain>
</file>

<file path=xl/sharedStrings.xml><?xml version="1.0" encoding="utf-8"?>
<sst xmlns="http://schemas.openxmlformats.org/spreadsheetml/2006/main" count="118" uniqueCount="68">
  <si>
    <t>Handelsdag</t>
  </si>
  <si>
    <t>Valørdag</t>
  </si>
  <si>
    <t>Dato</t>
  </si>
  <si>
    <t>Tid i år</t>
  </si>
  <si>
    <t>Cash flow</t>
  </si>
  <si>
    <t>Effektiv rente</t>
  </si>
  <si>
    <t>Vedhængende rente</t>
  </si>
  <si>
    <t>Nutidsværdi</t>
  </si>
  <si>
    <t>af cash flow</t>
  </si>
  <si>
    <t>Sidste kuponbetaling</t>
  </si>
  <si>
    <t>Vægt</t>
  </si>
  <si>
    <t>Vægt * tid</t>
  </si>
  <si>
    <t>Varighed</t>
  </si>
  <si>
    <t>Modificeret varighed</t>
  </si>
  <si>
    <t>Kronevarighed</t>
  </si>
  <si>
    <t>Sum:</t>
  </si>
  <si>
    <t>Antal vedhængende rentedage</t>
  </si>
  <si>
    <t>Antal vedh. Rentedage</t>
  </si>
  <si>
    <t>Sum af nutidsværdier ("dirty price")</t>
  </si>
  <si>
    <t>Kurs ("clean price")</t>
  </si>
  <si>
    <t>nutidsværdi</t>
  </si>
  <si>
    <t>Obligation 1</t>
  </si>
  <si>
    <t>Obligation 2</t>
  </si>
  <si>
    <t>Obligation 3</t>
  </si>
  <si>
    <t>Macauley</t>
  </si>
  <si>
    <t>Effektiv</t>
  </si>
  <si>
    <t>rente</t>
  </si>
  <si>
    <t>Modificeret</t>
  </si>
  <si>
    <t>Kurs +</t>
  </si>
  <si>
    <t>vedh. rente</t>
  </si>
  <si>
    <t>Nom</t>
  </si>
  <si>
    <t>Beløb</t>
  </si>
  <si>
    <t>Krone-</t>
  </si>
  <si>
    <t>varighed</t>
  </si>
  <si>
    <t>konveksitet</t>
  </si>
  <si>
    <t>Markeds-</t>
  </si>
  <si>
    <t>værdi</t>
  </si>
  <si>
    <t>Portefølje</t>
  </si>
  <si>
    <t>Nulkupon-</t>
  </si>
  <si>
    <t>Cash</t>
  </si>
  <si>
    <t>Flow</t>
  </si>
  <si>
    <t>Tid</t>
  </si>
  <si>
    <t>Nulkupon</t>
  </si>
  <si>
    <t>Vægt*tid</t>
  </si>
  <si>
    <t>Eff.rente</t>
  </si>
  <si>
    <t>Kurs</t>
  </si>
  <si>
    <t>Pris</t>
  </si>
  <si>
    <t>år</t>
  </si>
  <si>
    <t>kurve</t>
  </si>
  <si>
    <t>Shock 2</t>
  </si>
  <si>
    <t>i dag</t>
  </si>
  <si>
    <t>shock 1</t>
  </si>
  <si>
    <t>Nutidsværdi:</t>
  </si>
  <si>
    <t>Følsomhed:</t>
  </si>
  <si>
    <t>Effektiv rente = 2,972%</t>
  </si>
  <si>
    <t>(Macaulay)</t>
  </si>
  <si>
    <t>(Fisher-Weil)</t>
  </si>
  <si>
    <t>Chok 1</t>
  </si>
  <si>
    <t>Chok 2</t>
  </si>
  <si>
    <t>Kronekonveksitet</t>
  </si>
  <si>
    <t>Mandag den 13. januar, 2020</t>
  </si>
  <si>
    <t>Onsdag den 15. januar, 2020</t>
  </si>
  <si>
    <t>Handelsdag mandag den 13/1-20</t>
  </si>
  <si>
    <t>Valørdag onsdag den 15/1-20</t>
  </si>
  <si>
    <t>Effektiv rente = -0,3362%</t>
  </si>
  <si>
    <r>
      <t>(tid</t>
    </r>
    <r>
      <rPr>
        <vertAlign val="superscript"/>
        <sz val="8.5"/>
        <color theme="1"/>
        <rFont val="Franklin Gothic Book"/>
        <family val="2"/>
      </rPr>
      <t>2</t>
    </r>
    <r>
      <rPr>
        <sz val="8.5"/>
        <color theme="1"/>
        <rFont val="Franklin Gothic Book"/>
        <family val="2"/>
      </rPr>
      <t>+tid)*</t>
    </r>
  </si>
  <si>
    <t>Tabel 2.1 Beregning af varighed</t>
  </si>
  <si>
    <t>Tabel 2.3 Beregning af kronekonveksitet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</si>
</sst>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0.000%"/>
    <numFmt numFmtId="166" formatCode="0.000"/>
    <numFmt numFmtId="167" formatCode="_ * #,##0_ ;_ * \-#,##0_ ;_ * &quot;-&quot;??_ ;_ @_ "/>
    <numFmt numFmtId="168" formatCode="0.0000%"/>
    <numFmt numFmtId="169" formatCode="0.0"/>
    <numFmt numFmtId="170" formatCode="0.0%"/>
    <numFmt numFmtId="171" formatCode="_ * #,##0.000_ ;_ * \-#,##0.000_ ;_ * &quot;-&quot;??_ ;_ @_ "/>
    <numFmt numFmtId="172" formatCode="_ * #,##0.0000_ ;_ * \-#,##0.0000_ ;_ * &quot;-&quot;??_ ;_ @_ "/>
    <numFmt numFmtId="174" formatCode="_-* #,##0.0000\ _k_r_._-;\-* #,##0.0000\ _k_r_._-;_-* &quot;-&quot;????\ _k_r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sz val="8.5"/>
      <color theme="1"/>
      <name val="Franklin Gothic Book"/>
      <family val="2"/>
    </font>
    <font>
      <vertAlign val="superscript"/>
      <sz val="8.5"/>
      <color theme="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0" fillId="0" borderId="2" xfId="0" applyBorder="1"/>
    <xf numFmtId="0" fontId="2" fillId="0" borderId="2" xfId="0" applyFont="1" applyBorder="1"/>
    <xf numFmtId="0" fontId="2" fillId="0" borderId="3" xfId="0" applyFont="1" applyBorder="1"/>
    <xf numFmtId="166" fontId="2" fillId="0" borderId="0" xfId="0" applyNumberFormat="1" applyFont="1" applyBorder="1"/>
    <xf numFmtId="0" fontId="2" fillId="0" borderId="0" xfId="0" applyFont="1" applyBorder="1"/>
    <xf numFmtId="166" fontId="0" fillId="0" borderId="0" xfId="0" applyNumberFormat="1"/>
    <xf numFmtId="14" fontId="0" fillId="0" borderId="0" xfId="0" applyNumberFormat="1"/>
    <xf numFmtId="9" fontId="0" fillId="0" borderId="0" xfId="0" applyNumberFormat="1"/>
    <xf numFmtId="169" fontId="0" fillId="0" borderId="0" xfId="0" applyNumberFormat="1"/>
    <xf numFmtId="166" fontId="2" fillId="0" borderId="0" xfId="0" applyNumberFormat="1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3" fillId="0" borderId="3" xfId="0" applyFont="1" applyBorder="1"/>
    <xf numFmtId="0" fontId="3" fillId="0" borderId="1" xfId="0" applyFont="1" applyBorder="1"/>
    <xf numFmtId="2" fontId="2" fillId="0" borderId="2" xfId="0" applyNumberFormat="1" applyFont="1" applyBorder="1"/>
    <xf numFmtId="2" fontId="2" fillId="0" borderId="0" xfId="0" applyNumberFormat="1" applyFont="1" applyBorder="1"/>
    <xf numFmtId="2" fontId="2" fillId="0" borderId="3" xfId="0" applyNumberFormat="1" applyFont="1" applyBorder="1"/>
    <xf numFmtId="2" fontId="2" fillId="0" borderId="0" xfId="0" applyNumberFormat="1" applyFont="1"/>
    <xf numFmtId="2" fontId="2" fillId="0" borderId="1" xfId="0" applyNumberFormat="1" applyFont="1" applyBorder="1"/>
    <xf numFmtId="10" fontId="3" fillId="0" borderId="0" xfId="2" applyNumberFormat="1" applyFont="1" applyBorder="1"/>
    <xf numFmtId="10" fontId="3" fillId="0" borderId="3" xfId="2" applyNumberFormat="1" applyFont="1" applyBorder="1"/>
    <xf numFmtId="2" fontId="3" fillId="0" borderId="0" xfId="0" applyNumberFormat="1" applyFont="1"/>
    <xf numFmtId="166" fontId="3" fillId="0" borderId="0" xfId="0" applyNumberFormat="1" applyFont="1"/>
    <xf numFmtId="2" fontId="3" fillId="0" borderId="1" xfId="0" applyNumberFormat="1" applyFont="1" applyBorder="1"/>
    <xf numFmtId="166" fontId="3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70" fontId="2" fillId="0" borderId="2" xfId="2" applyNumberFormat="1" applyFont="1" applyBorder="1"/>
    <xf numFmtId="170" fontId="2" fillId="0" borderId="0" xfId="2" applyNumberFormat="1" applyFont="1" applyBorder="1"/>
    <xf numFmtId="170" fontId="2" fillId="0" borderId="3" xfId="2" applyNumberFormat="1" applyFont="1" applyBorder="1"/>
    <xf numFmtId="165" fontId="0" fillId="0" borderId="0" xfId="0" applyNumberFormat="1"/>
    <xf numFmtId="0" fontId="3" fillId="0" borderId="5" xfId="0" applyFont="1" applyBorder="1"/>
    <xf numFmtId="166" fontId="3" fillId="0" borderId="6" xfId="0" applyNumberFormat="1" applyFont="1" applyBorder="1"/>
    <xf numFmtId="166" fontId="3" fillId="0" borderId="5" xfId="0" applyNumberFormat="1" applyFont="1" applyBorder="1"/>
    <xf numFmtId="10" fontId="3" fillId="0" borderId="6" xfId="2" applyNumberFormat="1" applyFont="1" applyBorder="1"/>
    <xf numFmtId="10" fontId="3" fillId="0" borderId="9" xfId="2" applyNumberFormat="1" applyFont="1" applyBorder="1"/>
    <xf numFmtId="10" fontId="3" fillId="0" borderId="5" xfId="2" applyNumberFormat="1" applyFont="1" applyBorder="1"/>
    <xf numFmtId="10" fontId="3" fillId="0" borderId="8" xfId="2" applyNumberFormat="1" applyFont="1" applyBorder="1"/>
    <xf numFmtId="166" fontId="3" fillId="0" borderId="9" xfId="0" applyNumberFormat="1" applyFont="1" applyBorder="1"/>
    <xf numFmtId="166" fontId="3" fillId="0" borderId="8" xfId="0" applyNumberFormat="1" applyFont="1" applyBorder="1"/>
    <xf numFmtId="0" fontId="3" fillId="0" borderId="6" xfId="0" applyFont="1" applyBorder="1"/>
    <xf numFmtId="0" fontId="3" fillId="0" borderId="9" xfId="0" applyFont="1" applyBorder="1"/>
    <xf numFmtId="0" fontId="3" fillId="0" borderId="8" xfId="0" applyFont="1" applyBorder="1" applyAlignment="1">
      <alignment horizontal="right"/>
    </xf>
    <xf numFmtId="0" fontId="4" fillId="0" borderId="0" xfId="0" applyFont="1"/>
    <xf numFmtId="14" fontId="3" fillId="0" borderId="0" xfId="0" applyNumberFormat="1" applyFont="1"/>
    <xf numFmtId="2" fontId="0" fillId="0" borderId="0" xfId="0" applyNumberFormat="1"/>
    <xf numFmtId="165" fontId="2" fillId="0" borderId="0" xfId="2" applyNumberFormat="1" applyFont="1"/>
    <xf numFmtId="10" fontId="2" fillId="0" borderId="0" xfId="0" quotePrefix="1" applyNumberFormat="1" applyFont="1" applyBorder="1"/>
    <xf numFmtId="168" fontId="2" fillId="0" borderId="0" xfId="2" applyNumberFormat="1" applyFont="1" applyBorder="1"/>
    <xf numFmtId="168" fontId="3" fillId="0" borderId="0" xfId="0" applyNumberFormat="1" applyFont="1"/>
    <xf numFmtId="167" fontId="3" fillId="0" borderId="0" xfId="1" applyNumberFormat="1" applyFont="1"/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2" borderId="0" xfId="0" applyFont="1" applyFill="1"/>
    <xf numFmtId="14" fontId="5" fillId="2" borderId="0" xfId="0" applyNumberFormat="1" applyFont="1" applyFill="1"/>
    <xf numFmtId="166" fontId="5" fillId="2" borderId="0" xfId="0" applyNumberFormat="1" applyFont="1" applyFill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0" xfId="0" applyFont="1" applyFill="1" applyBorder="1"/>
    <xf numFmtId="14" fontId="5" fillId="2" borderId="2" xfId="0" applyNumberFormat="1" applyFont="1" applyFill="1" applyBorder="1"/>
    <xf numFmtId="166" fontId="5" fillId="2" borderId="2" xfId="0" applyNumberFormat="1" applyFont="1" applyFill="1" applyBorder="1"/>
    <xf numFmtId="165" fontId="5" fillId="2" borderId="2" xfId="2" applyNumberFormat="1" applyFont="1" applyFill="1" applyBorder="1"/>
    <xf numFmtId="14" fontId="5" fillId="2" borderId="0" xfId="0" applyNumberFormat="1" applyFont="1" applyFill="1" applyBorder="1"/>
    <xf numFmtId="166" fontId="5" fillId="2" borderId="0" xfId="0" applyNumberFormat="1" applyFont="1" applyFill="1" applyBorder="1"/>
    <xf numFmtId="165" fontId="5" fillId="2" borderId="0" xfId="2" applyNumberFormat="1" applyFont="1" applyFill="1" applyBorder="1"/>
    <xf numFmtId="14" fontId="5" fillId="2" borderId="3" xfId="0" applyNumberFormat="1" applyFont="1" applyFill="1" applyBorder="1"/>
    <xf numFmtId="166" fontId="5" fillId="2" borderId="3" xfId="0" applyNumberFormat="1" applyFont="1" applyFill="1" applyBorder="1"/>
    <xf numFmtId="165" fontId="5" fillId="2" borderId="3" xfId="2" applyNumberFormat="1" applyFont="1" applyFill="1" applyBorder="1"/>
    <xf numFmtId="14" fontId="5" fillId="2" borderId="1" xfId="0" applyNumberFormat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166" fontId="5" fillId="2" borderId="1" xfId="0" applyNumberFormat="1" applyFont="1" applyFill="1" applyBorder="1"/>
    <xf numFmtId="165" fontId="5" fillId="2" borderId="1" xfId="2" applyNumberFormat="1" applyFont="1" applyFill="1" applyBorder="1"/>
    <xf numFmtId="0" fontId="5" fillId="2" borderId="1" xfId="0" applyFont="1" applyFill="1" applyBorder="1" applyAlignment="1">
      <alignment horizontal="center"/>
    </xf>
    <xf numFmtId="9" fontId="5" fillId="2" borderId="0" xfId="0" applyNumberFormat="1" applyFont="1" applyFill="1"/>
    <xf numFmtId="167" fontId="5" fillId="2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/>
    <xf numFmtId="171" fontId="0" fillId="0" borderId="0" xfId="1" applyNumberFormat="1" applyFont="1"/>
    <xf numFmtId="172" fontId="0" fillId="0" borderId="0" xfId="1" applyNumberFormat="1" applyFont="1"/>
    <xf numFmtId="174" fontId="0" fillId="0" borderId="0" xfId="0" applyNumberFormat="1"/>
    <xf numFmtId="0" fontId="5" fillId="2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/>
    <xf numFmtId="9" fontId="5" fillId="0" borderId="0" xfId="0" applyNumberFormat="1" applyFont="1" applyFill="1" applyBorder="1"/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/>
    <xf numFmtId="167" fontId="3" fillId="2" borderId="2" xfId="1" applyNumberFormat="1" applyFont="1" applyFill="1" applyBorder="1"/>
    <xf numFmtId="2" fontId="3" fillId="2" borderId="2" xfId="0" applyNumberFormat="1" applyFont="1" applyFill="1" applyBorder="1"/>
    <xf numFmtId="10" fontId="3" fillId="2" borderId="2" xfId="0" applyNumberFormat="1" applyFont="1" applyFill="1" applyBorder="1"/>
    <xf numFmtId="0" fontId="3" fillId="2" borderId="0" xfId="0" applyFont="1" applyFill="1" applyBorder="1"/>
    <xf numFmtId="167" fontId="3" fillId="2" borderId="0" xfId="1" applyNumberFormat="1" applyFont="1" applyFill="1" applyBorder="1"/>
    <xf numFmtId="2" fontId="3" fillId="2" borderId="0" xfId="0" applyNumberFormat="1" applyFont="1" applyFill="1" applyBorder="1"/>
    <xf numFmtId="10" fontId="3" fillId="2" borderId="0" xfId="0" applyNumberFormat="1" applyFont="1" applyFill="1" applyBorder="1"/>
    <xf numFmtId="0" fontId="3" fillId="2" borderId="3" xfId="0" applyFont="1" applyFill="1" applyBorder="1"/>
    <xf numFmtId="167" fontId="3" fillId="2" borderId="3" xfId="1" applyNumberFormat="1" applyFont="1" applyFill="1" applyBorder="1"/>
    <xf numFmtId="2" fontId="3" fillId="2" borderId="3" xfId="0" applyNumberFormat="1" applyFont="1" applyFill="1" applyBorder="1"/>
    <xf numFmtId="10" fontId="3" fillId="2" borderId="3" xfId="0" applyNumberFormat="1" applyFont="1" applyFill="1" applyBorder="1"/>
    <xf numFmtId="0" fontId="3" fillId="2" borderId="1" xfId="0" applyFont="1" applyFill="1" applyBorder="1"/>
    <xf numFmtId="167" fontId="3" fillId="2" borderId="1" xfId="0" applyNumberFormat="1" applyFont="1" applyFill="1" applyBorder="1"/>
    <xf numFmtId="164" fontId="3" fillId="2" borderId="1" xfId="0" applyNumberFormat="1" applyFont="1" applyFill="1" applyBorder="1"/>
    <xf numFmtId="10" fontId="3" fillId="2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780183727034121E-2"/>
          <c:y val="5.1400554097404488E-2"/>
          <c:w val="0.82502362204724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Nulkuponkurve i dag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[1]Sheet1!$D$5:$D$7</c:f>
              <c:numCache>
                <c:formatCode>General</c:formatCode>
                <c:ptCount val="3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0E-4E05-B7E6-81AF45DF2CBA}"/>
            </c:ext>
          </c:extLst>
        </c:ser>
        <c:ser>
          <c:idx val="1"/>
          <c:order val="1"/>
          <c:tx>
            <c:v>Chok 1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val>
            <c:numRef>
              <c:f>[1]Sheet1!$E$5:$E$7</c:f>
              <c:numCache>
                <c:formatCode>General</c:formatCode>
                <c:ptCount val="3"/>
                <c:pt idx="0">
                  <c:v>0.02</c:v>
                </c:pt>
                <c:pt idx="1">
                  <c:v>2.5000000000000001E-2</c:v>
                </c:pt>
                <c:pt idx="2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E-4E05-B7E6-81AF45DF2CBA}"/>
            </c:ext>
          </c:extLst>
        </c:ser>
        <c:ser>
          <c:idx val="2"/>
          <c:order val="2"/>
          <c:tx>
            <c:v>Chok 2</c:v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val>
            <c:numRef>
              <c:f>[1]Sheet1!$F$5:$F$7</c:f>
              <c:numCache>
                <c:formatCode>General</c:formatCode>
                <c:ptCount val="3"/>
                <c:pt idx="0">
                  <c:v>0.01</c:v>
                </c:pt>
                <c:pt idx="1">
                  <c:v>2.5000000000000001E-2</c:v>
                </c:pt>
                <c:pt idx="2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0E-4E05-B7E6-81AF45DF2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17056"/>
        <c:axId val="34318976"/>
      </c:lineChart>
      <c:catAx>
        <c:axId val="34317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>
            <c:manualLayout>
              <c:xMode val="edge"/>
              <c:yMode val="edge"/>
              <c:x val="0.43682655293088368"/>
              <c:y val="0.91571741032370957"/>
            </c:manualLayout>
          </c:layout>
          <c:overlay val="0"/>
        </c:title>
        <c:majorTickMark val="out"/>
        <c:minorTickMark val="none"/>
        <c:tickLblPos val="nextTo"/>
        <c:crossAx val="34318976"/>
        <c:crosses val="autoZero"/>
        <c:auto val="1"/>
        <c:lblAlgn val="ctr"/>
        <c:lblOffset val="100"/>
        <c:noMultiLvlLbl val="0"/>
      </c:catAx>
      <c:valAx>
        <c:axId val="343189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100" b="0">
                    <a:latin typeface="Trebuchet MS" pitchFamily="34" charset="0"/>
                  </a:defRPr>
                </a:pPr>
                <a:r>
                  <a:rPr lang="en-US" sz="1100" b="0">
                    <a:latin typeface="Trebuchet MS" pitchFamily="34" charset="0"/>
                  </a:rPr>
                  <a:t>Nulkupon-rente</a:t>
                </a:r>
              </a:p>
            </c:rich>
          </c:tx>
          <c:layout>
            <c:manualLayout>
              <c:xMode val="edge"/>
              <c:yMode val="edge"/>
              <c:x val="0.11905086762940058"/>
              <c:y val="2.4122193059200932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crossAx val="3431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6824825021872261"/>
          <c:y val="0.54572032662583847"/>
          <c:w val="0.39230943500483489"/>
          <c:h val="0.32522564887722366"/>
        </c:manualLayout>
      </c:layout>
      <c:overlay val="0"/>
    </c:legend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147637</xdr:rowOff>
    </xdr:from>
    <xdr:to>
      <xdr:col>10</xdr:col>
      <xdr:colOff>257175</xdr:colOff>
      <xdr:row>36</xdr:row>
      <xdr:rowOff>166687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828800" y="4776787"/>
          <a:ext cx="4524375" cy="2743200"/>
          <a:chOff x="2438400" y="3290887"/>
          <a:chExt cx="4705350" cy="27432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/>
        </xdr:nvGraphicFramePr>
        <xdr:xfrm>
          <a:off x="2438400" y="3290887"/>
          <a:ext cx="470535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 txBox="1"/>
        </xdr:nvSpPr>
        <xdr:spPr>
          <a:xfrm>
            <a:off x="3267075" y="5229225"/>
            <a:ext cx="1456296" cy="2561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a-DK" sz="1100">
                <a:latin typeface="Trebuchet MS" pitchFamily="34" charset="0"/>
              </a:rPr>
              <a:t>Nutidsværdi</a:t>
            </a:r>
            <a:r>
              <a:rPr lang="da-DK" sz="1100" baseline="0">
                <a:latin typeface="Trebuchet MS" pitchFamily="34" charset="0"/>
              </a:rPr>
              <a:t> = 97,25</a:t>
            </a:r>
            <a:endParaRPr lang="da-DK" sz="1100">
              <a:latin typeface="Trebuchet MS" pitchFamily="34" charset="0"/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3048000" y="4276725"/>
            <a:ext cx="1456296" cy="2561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a-DK" sz="1100">
                <a:latin typeface="Trebuchet MS" pitchFamily="34" charset="0"/>
              </a:rPr>
              <a:t>Nutidsværdi</a:t>
            </a:r>
            <a:r>
              <a:rPr lang="da-DK" sz="1100" baseline="0">
                <a:latin typeface="Trebuchet MS" pitchFamily="34" charset="0"/>
              </a:rPr>
              <a:t> = 97,21</a:t>
            </a:r>
            <a:endParaRPr lang="da-DK" sz="1100">
              <a:latin typeface="Trebuchet MS" pitchFamily="34" charset="0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 txBox="1"/>
        </xdr:nvSpPr>
        <xdr:spPr>
          <a:xfrm>
            <a:off x="4953000" y="3390900"/>
            <a:ext cx="1456296" cy="2561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a-DK" sz="1100">
                <a:latin typeface="Trebuchet MS" pitchFamily="34" charset="0"/>
              </a:rPr>
              <a:t>Nutidsværdi</a:t>
            </a:r>
            <a:r>
              <a:rPr lang="da-DK" sz="1100" baseline="0">
                <a:latin typeface="Trebuchet MS" pitchFamily="34" charset="0"/>
              </a:rPr>
              <a:t> = 94,56</a:t>
            </a:r>
            <a:endParaRPr lang="da-DK" sz="1100">
              <a:latin typeface="Trebuchet MS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ligt/Bog/kapitel%205/Mapping%20eksemp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D5">
            <v>0.01</v>
          </cell>
          <cell r="E5">
            <v>0.02</v>
          </cell>
          <cell r="F5">
            <v>0.01</v>
          </cell>
        </row>
        <row r="6">
          <cell r="D6">
            <v>0.02</v>
          </cell>
          <cell r="E6">
            <v>2.5000000000000001E-2</v>
          </cell>
          <cell r="F6">
            <v>2.5000000000000001E-2</v>
          </cell>
        </row>
        <row r="7">
          <cell r="D7">
            <v>0.03</v>
          </cell>
          <cell r="E7">
            <v>0.03</v>
          </cell>
          <cell r="F7">
            <v>0.04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9862-0558-4E06-857B-5EB745871EB0}">
  <dimension ref="A1:O44"/>
  <sheetViews>
    <sheetView showGridLines="0" workbookViewId="0">
      <selection activeCell="B8" sqref="B8:G22"/>
    </sheetView>
  </sheetViews>
  <sheetFormatPr defaultRowHeight="15" x14ac:dyDescent="0.25"/>
  <cols>
    <col min="2" max="2" width="9.7109375" customWidth="1"/>
    <col min="3" max="3" width="11.7109375" customWidth="1"/>
    <col min="4" max="4" width="13" customWidth="1"/>
    <col min="5" max="5" width="16" customWidth="1"/>
    <col min="6" max="6" width="8.7109375" customWidth="1"/>
    <col min="7" max="7" width="11.85546875" bestFit="1" customWidth="1"/>
    <col min="8" max="8" width="12.42578125" bestFit="1" customWidth="1"/>
    <col min="11" max="11" width="10.28515625" bestFit="1" customWidth="1"/>
    <col min="13" max="13" width="9.42578125" bestFit="1" customWidth="1"/>
    <col min="15" max="15" width="10.7109375" bestFit="1" customWidth="1"/>
  </cols>
  <sheetData>
    <row r="1" spans="1:15" ht="16.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7.25" x14ac:dyDescent="0.35">
      <c r="A2" s="1"/>
      <c r="B2" s="1"/>
      <c r="C2" s="12" t="s">
        <v>5</v>
      </c>
      <c r="D2" s="12"/>
      <c r="E2" s="12"/>
      <c r="F2" s="12"/>
      <c r="G2" s="52">
        <v>-3.362E-3</v>
      </c>
      <c r="H2" s="1"/>
      <c r="I2" s="1"/>
      <c r="J2" s="1"/>
    </row>
    <row r="3" spans="1:15" ht="17.25" x14ac:dyDescent="0.35">
      <c r="A3" s="1"/>
      <c r="B3" s="1"/>
      <c r="C3" s="12" t="s">
        <v>0</v>
      </c>
      <c r="D3" s="12" t="s">
        <v>60</v>
      </c>
      <c r="E3" s="12"/>
      <c r="F3" s="12"/>
      <c r="G3" s="47">
        <v>43843</v>
      </c>
      <c r="H3" s="1"/>
      <c r="I3" s="1"/>
      <c r="J3" s="11"/>
    </row>
    <row r="4" spans="1:15" ht="17.25" x14ac:dyDescent="0.35">
      <c r="A4" s="1"/>
      <c r="B4" s="1"/>
      <c r="C4" s="12" t="s">
        <v>1</v>
      </c>
      <c r="D4" s="12" t="s">
        <v>61</v>
      </c>
      <c r="E4" s="12"/>
      <c r="F4" s="12"/>
      <c r="G4" s="47">
        <v>43845</v>
      </c>
      <c r="H4" s="1"/>
      <c r="I4" s="1"/>
      <c r="J4" s="1"/>
      <c r="M4" s="9"/>
      <c r="N4" s="10"/>
    </row>
    <row r="5" spans="1:15" ht="17.25" x14ac:dyDescent="0.35">
      <c r="A5" s="1"/>
      <c r="B5" s="1"/>
      <c r="C5" s="12" t="s">
        <v>9</v>
      </c>
      <c r="D5" s="12"/>
      <c r="E5" s="12"/>
      <c r="F5" s="12"/>
      <c r="G5" s="47">
        <v>43784</v>
      </c>
      <c r="H5" s="1"/>
      <c r="I5" s="1"/>
      <c r="J5" s="1"/>
      <c r="M5" s="9"/>
      <c r="N5" s="10"/>
    </row>
    <row r="6" spans="1:15" ht="17.25" x14ac:dyDescent="0.35">
      <c r="A6" s="1"/>
      <c r="C6" s="12" t="s">
        <v>16</v>
      </c>
      <c r="D6" s="46"/>
      <c r="E6" s="46"/>
      <c r="F6" s="46"/>
      <c r="G6" s="53">
        <f>+G4-G5</f>
        <v>61</v>
      </c>
      <c r="H6" s="1"/>
      <c r="I6" s="1"/>
      <c r="J6" s="1"/>
      <c r="M6" s="9"/>
      <c r="N6" s="10"/>
    </row>
    <row r="7" spans="1:15" ht="16.5" x14ac:dyDescent="0.3">
      <c r="A7" s="1"/>
      <c r="G7" s="1"/>
      <c r="H7" s="1"/>
      <c r="I7" s="1"/>
      <c r="J7" s="1"/>
      <c r="M7" s="9"/>
      <c r="N7" s="10"/>
    </row>
    <row r="8" spans="1:15" ht="16.5" x14ac:dyDescent="0.3">
      <c r="A8" s="1"/>
      <c r="B8" s="79" t="s">
        <v>66</v>
      </c>
      <c r="C8" s="79"/>
      <c r="D8" s="79"/>
      <c r="E8" s="79"/>
      <c r="F8" s="79"/>
      <c r="G8" s="79"/>
      <c r="H8" s="85"/>
      <c r="I8" s="1"/>
      <c r="J8" s="49"/>
      <c r="M8" s="9"/>
      <c r="N8" s="10"/>
    </row>
    <row r="9" spans="1:15" ht="16.5" x14ac:dyDescent="0.3">
      <c r="A9" s="1"/>
      <c r="B9" s="59" t="s">
        <v>62</v>
      </c>
      <c r="C9" s="59"/>
      <c r="D9" s="59"/>
      <c r="E9" s="59" t="s">
        <v>9</v>
      </c>
      <c r="F9" s="59"/>
      <c r="G9" s="62">
        <v>43784</v>
      </c>
      <c r="H9" s="86"/>
      <c r="I9" s="1"/>
      <c r="J9" s="1"/>
      <c r="M9" s="9"/>
      <c r="N9" s="10"/>
    </row>
    <row r="10" spans="1:15" ht="16.5" x14ac:dyDescent="0.3">
      <c r="A10" s="1"/>
      <c r="B10" s="61" t="s">
        <v>63</v>
      </c>
      <c r="C10" s="61"/>
      <c r="D10" s="61"/>
      <c r="E10" s="61" t="s">
        <v>17</v>
      </c>
      <c r="F10" s="61"/>
      <c r="G10" s="78">
        <f>+G6</f>
        <v>61</v>
      </c>
      <c r="H10" s="86"/>
      <c r="I10" s="1"/>
      <c r="J10" s="1"/>
      <c r="M10" s="9"/>
      <c r="N10" s="10"/>
    </row>
    <row r="11" spans="1:15" ht="16.5" x14ac:dyDescent="0.3">
      <c r="A11" s="1"/>
      <c r="B11" s="60" t="s">
        <v>64</v>
      </c>
      <c r="C11" s="60"/>
      <c r="D11" s="60"/>
      <c r="E11" s="60" t="s">
        <v>6</v>
      </c>
      <c r="F11" s="60"/>
      <c r="G11" s="69">
        <f>+E25</f>
        <v>8.3333333333333329E-2</v>
      </c>
      <c r="H11" s="86"/>
      <c r="I11" s="1"/>
      <c r="J11" s="1"/>
      <c r="M11" s="9"/>
      <c r="N11" s="10"/>
    </row>
    <row r="12" spans="1:15" ht="16.5" x14ac:dyDescent="0.3">
      <c r="A12" s="1"/>
      <c r="B12" s="59"/>
      <c r="C12" s="59"/>
      <c r="D12" s="59"/>
      <c r="E12" s="59" t="s">
        <v>7</v>
      </c>
      <c r="F12" s="59"/>
      <c r="G12" s="59"/>
      <c r="H12" s="86"/>
      <c r="I12" s="1"/>
      <c r="J12" s="1"/>
      <c r="M12" s="9"/>
      <c r="N12" s="10"/>
    </row>
    <row r="13" spans="1:15" ht="16.5" x14ac:dyDescent="0.3">
      <c r="A13" s="1"/>
      <c r="B13" s="60" t="s">
        <v>2</v>
      </c>
      <c r="C13" s="60" t="s">
        <v>3</v>
      </c>
      <c r="D13" s="60" t="s">
        <v>4</v>
      </c>
      <c r="E13" s="60" t="s">
        <v>8</v>
      </c>
      <c r="F13" s="60" t="s">
        <v>10</v>
      </c>
      <c r="G13" s="60" t="s">
        <v>11</v>
      </c>
      <c r="H13" s="86"/>
      <c r="I13" s="1"/>
      <c r="J13" s="1"/>
      <c r="M13" s="82"/>
      <c r="N13" s="10"/>
      <c r="O13" s="83"/>
    </row>
    <row r="14" spans="1:15" ht="16.5" x14ac:dyDescent="0.3">
      <c r="A14" s="1"/>
      <c r="B14" s="62">
        <v>44150</v>
      </c>
      <c r="C14" s="63">
        <f>+(B14-G4)/366</f>
        <v>0.83333333333333337</v>
      </c>
      <c r="D14" s="59">
        <v>0.5</v>
      </c>
      <c r="E14" s="63">
        <f t="shared" ref="E14:E21" si="0">+D14*(1+$G$2)^-C14</f>
        <v>0.50140516422036663</v>
      </c>
      <c r="F14" s="64">
        <f>+E14/$E$24</f>
        <v>4.6977947541435869E-3</v>
      </c>
      <c r="G14" s="63">
        <f t="shared" ref="G14:G21" si="1">+F14*C14</f>
        <v>3.9148289617863229E-3</v>
      </c>
      <c r="H14" s="87"/>
      <c r="J14" s="1"/>
      <c r="K14" s="48"/>
      <c r="M14" s="82"/>
      <c r="N14" s="10"/>
    </row>
    <row r="15" spans="1:15" ht="16.5" x14ac:dyDescent="0.3">
      <c r="A15" s="1"/>
      <c r="B15" s="65">
        <f>EDATE(B14,12)</f>
        <v>44515</v>
      </c>
      <c r="C15" s="66">
        <f>+C14+1</f>
        <v>1.8333333333333335</v>
      </c>
      <c r="D15" s="61">
        <v>0.5</v>
      </c>
      <c r="E15" s="66">
        <f t="shared" si="0"/>
        <v>0.50309657490519788</v>
      </c>
      <c r="F15" s="67">
        <f>+E15/$E$24</f>
        <v>4.7136420186101539E-3</v>
      </c>
      <c r="G15" s="66">
        <f t="shared" si="1"/>
        <v>8.6416770341186163E-3</v>
      </c>
      <c r="H15" s="87"/>
      <c r="J15" s="1"/>
      <c r="M15" s="82"/>
      <c r="N15" s="10"/>
    </row>
    <row r="16" spans="1:15" ht="16.5" x14ac:dyDescent="0.3">
      <c r="A16" s="1"/>
      <c r="B16" s="65">
        <f>EDATE(B15,12)</f>
        <v>44880</v>
      </c>
      <c r="C16" s="66">
        <f>+C15+1</f>
        <v>2.8333333333333335</v>
      </c>
      <c r="D16" s="61">
        <v>0.5</v>
      </c>
      <c r="E16" s="66">
        <f t="shared" si="0"/>
        <v>0.5047936912953328</v>
      </c>
      <c r="F16" s="67">
        <f>+E16/$E$24</f>
        <v>4.7295427413064257E-3</v>
      </c>
      <c r="G16" s="66">
        <f t="shared" si="1"/>
        <v>1.3400371100368206E-2</v>
      </c>
      <c r="H16" s="87"/>
      <c r="J16" s="1"/>
      <c r="M16" s="9"/>
      <c r="N16" s="10"/>
    </row>
    <row r="17" spans="1:14" ht="16.5" x14ac:dyDescent="0.3">
      <c r="A17" s="1"/>
      <c r="B17" s="65">
        <f>EDATE(B16,12)</f>
        <v>45245</v>
      </c>
      <c r="C17" s="66">
        <f>+C16+1</f>
        <v>3.8333333333333335</v>
      </c>
      <c r="D17" s="61">
        <v>0.5</v>
      </c>
      <c r="E17" s="66">
        <f t="shared" si="0"/>
        <v>0.50649653263806182</v>
      </c>
      <c r="F17" s="67">
        <f>+E17/$E$24</f>
        <v>4.7454971025652493E-3</v>
      </c>
      <c r="G17" s="66">
        <f t="shared" si="1"/>
        <v>1.8191072226500123E-2</v>
      </c>
      <c r="H17" s="87"/>
      <c r="J17" s="1"/>
      <c r="M17" s="9"/>
      <c r="N17" s="10"/>
    </row>
    <row r="18" spans="1:14" ht="16.5" x14ac:dyDescent="0.3">
      <c r="A18" s="1"/>
      <c r="B18" s="65">
        <f>EDATE(B17,12)</f>
        <v>45611</v>
      </c>
      <c r="C18" s="66">
        <f>+C17+1</f>
        <v>4.8333333333333339</v>
      </c>
      <c r="D18" s="61">
        <v>0.5</v>
      </c>
      <c r="E18" s="66">
        <f t="shared" si="0"/>
        <v>0.50820511824560366</v>
      </c>
      <c r="F18" s="67">
        <f>+E18/$E$24</f>
        <v>4.7615052833277979E-3</v>
      </c>
      <c r="G18" s="66">
        <f t="shared" si="1"/>
        <v>2.3013942202751027E-2</v>
      </c>
      <c r="H18" s="87"/>
      <c r="J18" s="1"/>
      <c r="M18" s="9"/>
      <c r="N18" s="10"/>
    </row>
    <row r="19" spans="1:14" ht="16.5" x14ac:dyDescent="0.3">
      <c r="A19" s="1"/>
      <c r="B19" s="65">
        <f>EDATE(B18,12)</f>
        <v>45976</v>
      </c>
      <c r="C19" s="66">
        <f>+C18+1</f>
        <v>5.8333333333333339</v>
      </c>
      <c r="D19" s="61">
        <v>0.5</v>
      </c>
      <c r="E19" s="66">
        <f t="shared" si="0"/>
        <v>0.50991946749532291</v>
      </c>
      <c r="F19" s="67">
        <f>+E19/$E$24</f>
        <v>4.7775674651456173E-3</v>
      </c>
      <c r="G19" s="66">
        <f t="shared" si="1"/>
        <v>2.7869143546682771E-2</v>
      </c>
      <c r="H19" s="87"/>
      <c r="J19" s="1"/>
      <c r="M19" s="9"/>
      <c r="N19" s="7"/>
    </row>
    <row r="20" spans="1:14" ht="16.5" x14ac:dyDescent="0.3">
      <c r="A20" s="1"/>
      <c r="B20" s="65">
        <f t="shared" ref="B20:B21" si="2">EDATE(B19,12)</f>
        <v>46341</v>
      </c>
      <c r="C20" s="66">
        <f t="shared" ref="C20:C21" si="3">+C19+1</f>
        <v>6.8333333333333339</v>
      </c>
      <c r="D20" s="61">
        <v>0.5</v>
      </c>
      <c r="E20" s="66">
        <f t="shared" si="0"/>
        <v>0.51163959982995111</v>
      </c>
      <c r="F20" s="67">
        <f t="shared" ref="F20:F21" si="4">+E20/$E$24</f>
        <v>4.7936838301826908E-3</v>
      </c>
      <c r="G20" s="66">
        <f t="shared" si="1"/>
        <v>3.2756839506248393E-2</v>
      </c>
      <c r="H20" s="87"/>
      <c r="J20" s="1"/>
      <c r="M20" s="9"/>
      <c r="N20" s="10"/>
    </row>
    <row r="21" spans="1:14" ht="16.5" x14ac:dyDescent="0.3">
      <c r="A21" s="1"/>
      <c r="B21" s="68">
        <f t="shared" si="2"/>
        <v>46706</v>
      </c>
      <c r="C21" s="69">
        <f t="shared" si="3"/>
        <v>7.8333333333333339</v>
      </c>
      <c r="D21" s="60">
        <v>100.5</v>
      </c>
      <c r="E21" s="69">
        <f t="shared" si="0"/>
        <v>103.18647248631919</v>
      </c>
      <c r="F21" s="70">
        <f t="shared" si="4"/>
        <v>0.96678076680471847</v>
      </c>
      <c r="G21" s="69">
        <f t="shared" si="1"/>
        <v>7.5731160066369618</v>
      </c>
      <c r="H21" s="87"/>
      <c r="I21" s="1"/>
      <c r="J21" s="1"/>
      <c r="M21" s="9"/>
      <c r="N21" s="10"/>
    </row>
    <row r="22" spans="1:14" ht="16.5" x14ac:dyDescent="0.3">
      <c r="A22" s="1"/>
      <c r="B22" s="71"/>
      <c r="C22" s="72"/>
      <c r="D22" s="73" t="s">
        <v>15</v>
      </c>
      <c r="E22" s="74">
        <f>SUM(E14:E21)</f>
        <v>106.73202863494903</v>
      </c>
      <c r="F22" s="75">
        <f>SUM(F14:F21)</f>
        <v>1</v>
      </c>
      <c r="G22" s="74">
        <f>SUM(G14:G21)</f>
        <v>7.7009038812154174</v>
      </c>
      <c r="H22" s="87"/>
      <c r="I22" s="1"/>
      <c r="J22" s="1"/>
      <c r="L22" s="9"/>
      <c r="M22" s="9"/>
      <c r="N22" s="10"/>
    </row>
    <row r="23" spans="1:14" ht="16.5" x14ac:dyDescent="0.3">
      <c r="A23" s="1"/>
      <c r="B23" s="57"/>
      <c r="C23" s="56"/>
      <c r="D23" s="56"/>
      <c r="E23" s="56"/>
      <c r="F23" s="56"/>
      <c r="G23" s="56"/>
      <c r="H23" s="86"/>
      <c r="I23" s="1"/>
      <c r="J23" s="1"/>
      <c r="M23" s="9"/>
      <c r="N23" s="10"/>
    </row>
    <row r="24" spans="1:14" ht="16.5" x14ac:dyDescent="0.3">
      <c r="A24" s="1"/>
      <c r="B24" s="59" t="s">
        <v>18</v>
      </c>
      <c r="C24" s="59"/>
      <c r="D24" s="59"/>
      <c r="E24" s="63">
        <f>SUM(E14:E21)</f>
        <v>106.73202863494903</v>
      </c>
      <c r="F24" s="56"/>
      <c r="G24" s="56"/>
      <c r="H24" s="86"/>
      <c r="I24" s="1"/>
      <c r="J24" s="1"/>
      <c r="M24" s="9"/>
      <c r="N24" s="10"/>
    </row>
    <row r="25" spans="1:14" ht="16.5" x14ac:dyDescent="0.3">
      <c r="A25" s="1"/>
      <c r="B25" s="61" t="s">
        <v>6</v>
      </c>
      <c r="C25" s="61"/>
      <c r="D25" s="61"/>
      <c r="E25" s="66">
        <f>+G6/366*0.5</f>
        <v>8.3333333333333329E-2</v>
      </c>
      <c r="F25" s="56"/>
      <c r="G25" s="56"/>
      <c r="H25" s="87"/>
      <c r="I25" s="1"/>
      <c r="J25" s="1"/>
      <c r="M25" s="9"/>
      <c r="N25" s="10"/>
    </row>
    <row r="26" spans="1:14" ht="16.5" x14ac:dyDescent="0.3">
      <c r="A26" s="1"/>
      <c r="B26" s="60" t="s">
        <v>19</v>
      </c>
      <c r="C26" s="60"/>
      <c r="D26" s="60"/>
      <c r="E26" s="69">
        <f>+E24-E25</f>
        <v>106.6486953016157</v>
      </c>
      <c r="F26" s="56"/>
      <c r="G26" s="56"/>
      <c r="H26" s="86"/>
      <c r="I26" s="1"/>
      <c r="J26" s="11"/>
      <c r="M26" s="9"/>
      <c r="N26" s="10"/>
    </row>
    <row r="27" spans="1:14" ht="16.5" x14ac:dyDescent="0.3">
      <c r="A27" s="1"/>
      <c r="B27" s="56"/>
      <c r="C27" s="56"/>
      <c r="D27" s="56"/>
      <c r="E27" s="56"/>
      <c r="F27" s="56"/>
      <c r="G27" s="56"/>
      <c r="H27" s="86"/>
      <c r="I27" s="1"/>
      <c r="J27" s="11"/>
      <c r="M27" s="9"/>
      <c r="N27" s="10"/>
    </row>
    <row r="28" spans="1:14" ht="16.5" x14ac:dyDescent="0.3">
      <c r="A28" s="1"/>
      <c r="B28" s="59" t="s">
        <v>12</v>
      </c>
      <c r="C28" s="59"/>
      <c r="D28" s="59"/>
      <c r="E28" s="63">
        <f>+G22</f>
        <v>7.7009038812154174</v>
      </c>
      <c r="F28" s="56"/>
      <c r="G28" s="56"/>
      <c r="H28" s="86"/>
      <c r="I28" s="1"/>
      <c r="J28" s="1"/>
      <c r="M28" s="9"/>
      <c r="N28" s="10"/>
    </row>
    <row r="29" spans="1:14" ht="16.5" x14ac:dyDescent="0.3">
      <c r="A29" s="1"/>
      <c r="B29" s="61" t="s">
        <v>13</v>
      </c>
      <c r="C29" s="61"/>
      <c r="D29" s="61"/>
      <c r="E29" s="66">
        <f>+E28/(1+G2)</f>
        <v>7.7268816573474188</v>
      </c>
      <c r="F29" s="56"/>
      <c r="G29" s="56"/>
      <c r="H29" s="86"/>
      <c r="I29" s="1"/>
      <c r="J29" s="1"/>
      <c r="M29" s="9"/>
      <c r="N29" s="10"/>
    </row>
    <row r="30" spans="1:14" ht="16.5" x14ac:dyDescent="0.3">
      <c r="A30" s="1"/>
      <c r="B30" s="60" t="s">
        <v>14</v>
      </c>
      <c r="C30" s="60"/>
      <c r="D30" s="60"/>
      <c r="E30" s="69">
        <f>+E29*E24/100</f>
        <v>8.2470575431086726</v>
      </c>
      <c r="F30" s="56"/>
      <c r="G30" s="56"/>
      <c r="H30" s="86"/>
      <c r="I30" s="1"/>
      <c r="J30" s="1"/>
      <c r="M30" s="9"/>
      <c r="N30" s="10"/>
    </row>
    <row r="31" spans="1:14" x14ac:dyDescent="0.25">
      <c r="B31" s="59"/>
      <c r="C31" s="59"/>
      <c r="D31" s="59"/>
      <c r="E31" s="59"/>
      <c r="F31" s="56"/>
      <c r="G31" s="56"/>
      <c r="H31" s="86"/>
      <c r="M31" s="9"/>
      <c r="N31" s="10"/>
    </row>
    <row r="32" spans="1:14" x14ac:dyDescent="0.25">
      <c r="B32" s="61"/>
      <c r="C32" s="84"/>
      <c r="D32" s="61"/>
      <c r="E32" s="66"/>
      <c r="F32" s="56"/>
      <c r="G32" s="56"/>
      <c r="H32" s="88"/>
      <c r="M32" s="9"/>
      <c r="N32" s="10"/>
    </row>
    <row r="33" spans="2:14" ht="16.5" x14ac:dyDescent="0.3">
      <c r="B33" s="50"/>
      <c r="C33" s="51"/>
      <c r="D33" s="5"/>
      <c r="E33" s="5"/>
      <c r="F33" s="1"/>
      <c r="G33" s="11"/>
      <c r="M33" s="9"/>
      <c r="N33" s="10"/>
    </row>
    <row r="34" spans="2:14" x14ac:dyDescent="0.25">
      <c r="M34" s="9"/>
      <c r="N34" s="10"/>
    </row>
    <row r="35" spans="2:14" x14ac:dyDescent="0.25">
      <c r="M35" s="9"/>
    </row>
    <row r="36" spans="2:14" x14ac:dyDescent="0.25">
      <c r="M36" s="9"/>
    </row>
    <row r="37" spans="2:14" x14ac:dyDescent="0.25">
      <c r="M37" s="9"/>
    </row>
    <row r="38" spans="2:14" x14ac:dyDescent="0.25">
      <c r="D38" s="8"/>
      <c r="E38" s="7"/>
      <c r="G38" s="8"/>
      <c r="H38" s="7"/>
      <c r="M38" s="9"/>
    </row>
    <row r="39" spans="2:14" x14ac:dyDescent="0.25">
      <c r="D39" s="8"/>
      <c r="E39" s="7"/>
      <c r="G39" s="8"/>
      <c r="M39" s="9"/>
    </row>
    <row r="40" spans="2:14" x14ac:dyDescent="0.25">
      <c r="D40" s="8"/>
      <c r="E40" s="7"/>
      <c r="G40" s="8"/>
      <c r="M40" s="9"/>
    </row>
    <row r="41" spans="2:14" x14ac:dyDescent="0.25">
      <c r="D41" s="8"/>
      <c r="E41" s="7"/>
      <c r="G41" s="8"/>
    </row>
    <row r="42" spans="2:14" x14ac:dyDescent="0.25">
      <c r="D42" s="8"/>
      <c r="E42" s="7"/>
      <c r="G42" s="8"/>
    </row>
    <row r="43" spans="2:14" x14ac:dyDescent="0.25">
      <c r="D43" s="8"/>
      <c r="E43" s="7"/>
      <c r="G43" s="8"/>
    </row>
    <row r="44" spans="2:14" x14ac:dyDescent="0.25">
      <c r="D44" s="8"/>
      <c r="E44" s="7"/>
      <c r="G44" s="8"/>
    </row>
  </sheetData>
  <mergeCells count="1">
    <mergeCell ref="B8:G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4"/>
  <sheetViews>
    <sheetView showGridLines="0" workbookViewId="0">
      <selection activeCell="K11" sqref="K11"/>
    </sheetView>
  </sheetViews>
  <sheetFormatPr defaultRowHeight="15" x14ac:dyDescent="0.25"/>
  <cols>
    <col min="2" max="2" width="9.7109375" customWidth="1"/>
    <col min="3" max="3" width="11.7109375" customWidth="1"/>
    <col min="4" max="4" width="13" customWidth="1"/>
    <col min="5" max="5" width="16" customWidth="1"/>
    <col min="6" max="6" width="8.7109375" customWidth="1"/>
    <col min="7" max="7" width="11.85546875" bestFit="1" customWidth="1"/>
    <col min="8" max="8" width="12.42578125" bestFit="1" customWidth="1"/>
    <col min="11" max="11" width="10.28515625" bestFit="1" customWidth="1"/>
    <col min="13" max="13" width="9.42578125" bestFit="1" customWidth="1"/>
    <col min="15" max="15" width="10.7109375" bestFit="1" customWidth="1"/>
  </cols>
  <sheetData>
    <row r="1" spans="1:15" ht="16.5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5" ht="17.25" x14ac:dyDescent="0.35">
      <c r="A2" s="1"/>
      <c r="B2" s="1"/>
      <c r="C2" s="12" t="s">
        <v>5</v>
      </c>
      <c r="D2" s="12"/>
      <c r="E2" s="12"/>
      <c r="F2" s="12"/>
      <c r="G2" s="52">
        <v>-3.362E-3</v>
      </c>
      <c r="H2" s="1"/>
      <c r="I2" s="1"/>
      <c r="J2" s="1"/>
    </row>
    <row r="3" spans="1:15" ht="17.25" x14ac:dyDescent="0.35">
      <c r="A3" s="1"/>
      <c r="B3" s="1"/>
      <c r="C3" s="12" t="s">
        <v>0</v>
      </c>
      <c r="D3" s="12" t="s">
        <v>60</v>
      </c>
      <c r="E3" s="12"/>
      <c r="F3" s="12"/>
      <c r="G3" s="47">
        <v>43843</v>
      </c>
      <c r="H3" s="1"/>
      <c r="I3" s="1"/>
      <c r="J3" s="11"/>
    </row>
    <row r="4" spans="1:15" ht="17.25" x14ac:dyDescent="0.35">
      <c r="A4" s="1"/>
      <c r="B4" s="1"/>
      <c r="C4" s="12" t="s">
        <v>1</v>
      </c>
      <c r="D4" s="12" t="s">
        <v>61</v>
      </c>
      <c r="E4" s="12"/>
      <c r="F4" s="12"/>
      <c r="G4" s="47">
        <v>43845</v>
      </c>
      <c r="H4" s="1"/>
      <c r="I4" s="1"/>
      <c r="J4" s="1"/>
      <c r="M4" s="81"/>
      <c r="N4" s="10"/>
    </row>
    <row r="5" spans="1:15" ht="17.25" x14ac:dyDescent="0.35">
      <c r="A5" s="1"/>
      <c r="B5" s="1"/>
      <c r="C5" s="12" t="s">
        <v>9</v>
      </c>
      <c r="D5" s="12"/>
      <c r="E5" s="12"/>
      <c r="F5" s="12"/>
      <c r="G5" s="47">
        <v>43784</v>
      </c>
      <c r="H5" s="1"/>
      <c r="I5" s="1"/>
      <c r="J5" s="1"/>
      <c r="M5" s="9"/>
      <c r="N5" s="10"/>
    </row>
    <row r="6" spans="1:15" ht="17.25" x14ac:dyDescent="0.35">
      <c r="A6" s="1"/>
      <c r="C6" s="12" t="s">
        <v>16</v>
      </c>
      <c r="D6" s="46"/>
      <c r="E6" s="46"/>
      <c r="F6" s="46"/>
      <c r="G6" s="53">
        <f>+G4-G5</f>
        <v>61</v>
      </c>
      <c r="H6" s="1"/>
      <c r="I6" s="1"/>
      <c r="J6" s="1"/>
      <c r="M6" s="9"/>
      <c r="N6" s="10"/>
    </row>
    <row r="7" spans="1:15" ht="16.5" x14ac:dyDescent="0.3">
      <c r="A7" s="1"/>
      <c r="G7" s="1"/>
      <c r="H7" s="1"/>
      <c r="I7" s="1"/>
      <c r="J7" s="1"/>
      <c r="M7" s="9"/>
      <c r="N7" s="10"/>
    </row>
    <row r="8" spans="1:15" ht="16.5" x14ac:dyDescent="0.3">
      <c r="A8" s="1"/>
      <c r="B8" s="79" t="s">
        <v>67</v>
      </c>
      <c r="C8" s="79"/>
      <c r="D8" s="79"/>
      <c r="E8" s="79"/>
      <c r="F8" s="79"/>
      <c r="G8" s="79"/>
      <c r="H8" s="80"/>
      <c r="I8" s="1"/>
      <c r="J8" s="49"/>
      <c r="M8" s="9"/>
      <c r="N8" s="10"/>
    </row>
    <row r="9" spans="1:15" ht="16.5" x14ac:dyDescent="0.3">
      <c r="A9" s="1"/>
      <c r="B9" s="59" t="s">
        <v>62</v>
      </c>
      <c r="C9" s="59"/>
      <c r="D9" s="59"/>
      <c r="E9" s="59" t="s">
        <v>9</v>
      </c>
      <c r="F9" s="59"/>
      <c r="G9" s="62">
        <v>43784</v>
      </c>
      <c r="H9" s="59"/>
      <c r="I9" s="1"/>
      <c r="J9" s="1"/>
      <c r="M9" s="9"/>
      <c r="N9" s="10"/>
    </row>
    <row r="10" spans="1:15" ht="16.5" x14ac:dyDescent="0.3">
      <c r="A10" s="1"/>
      <c r="B10" s="61" t="s">
        <v>63</v>
      </c>
      <c r="C10" s="61"/>
      <c r="D10" s="61"/>
      <c r="E10" s="61" t="s">
        <v>17</v>
      </c>
      <c r="F10" s="61"/>
      <c r="G10" s="78">
        <f>+G6</f>
        <v>61</v>
      </c>
      <c r="H10" s="61"/>
      <c r="I10" s="1"/>
      <c r="J10" s="1"/>
      <c r="M10" s="9"/>
      <c r="N10" s="10"/>
    </row>
    <row r="11" spans="1:15" ht="16.5" x14ac:dyDescent="0.3">
      <c r="A11" s="1"/>
      <c r="B11" s="60" t="s">
        <v>64</v>
      </c>
      <c r="C11" s="60"/>
      <c r="D11" s="60"/>
      <c r="E11" s="60" t="s">
        <v>6</v>
      </c>
      <c r="F11" s="60"/>
      <c r="G11" s="69">
        <f>+E25</f>
        <v>8.3333333333333329E-2</v>
      </c>
      <c r="H11" s="60"/>
      <c r="I11" s="1"/>
      <c r="J11" s="1"/>
      <c r="M11" s="9"/>
      <c r="N11" s="10"/>
    </row>
    <row r="12" spans="1:15" ht="16.5" x14ac:dyDescent="0.3">
      <c r="A12" s="1"/>
      <c r="B12" s="59"/>
      <c r="C12" s="59"/>
      <c r="D12" s="59"/>
      <c r="E12" s="59" t="s">
        <v>7</v>
      </c>
      <c r="F12" s="59"/>
      <c r="G12" s="59"/>
      <c r="H12" s="59" t="s">
        <v>65</v>
      </c>
      <c r="I12" s="1"/>
      <c r="J12" s="1"/>
      <c r="M12" s="9"/>
      <c r="N12" s="10"/>
    </row>
    <row r="13" spans="1:15" ht="16.5" x14ac:dyDescent="0.3">
      <c r="A13" s="1"/>
      <c r="B13" s="60" t="s">
        <v>2</v>
      </c>
      <c r="C13" s="60" t="s">
        <v>3</v>
      </c>
      <c r="D13" s="60" t="s">
        <v>4</v>
      </c>
      <c r="E13" s="60" t="s">
        <v>8</v>
      </c>
      <c r="F13" s="60" t="s">
        <v>10</v>
      </c>
      <c r="G13" s="60" t="s">
        <v>11</v>
      </c>
      <c r="H13" s="61" t="s">
        <v>20</v>
      </c>
      <c r="I13" s="1"/>
      <c r="J13" s="1"/>
      <c r="M13" s="82"/>
      <c r="N13" s="10"/>
      <c r="O13" s="83"/>
    </row>
    <row r="14" spans="1:15" ht="16.5" x14ac:dyDescent="0.3">
      <c r="A14" s="1"/>
      <c r="B14" s="62">
        <v>44150</v>
      </c>
      <c r="C14" s="63">
        <f>+(B14-G4)/366</f>
        <v>0.83333333333333337</v>
      </c>
      <c r="D14" s="59">
        <v>0.5</v>
      </c>
      <c r="E14" s="63">
        <f t="shared" ref="E14:E19" si="0">+D14*(1+$G$2)^-C14</f>
        <v>0.50140516422036663</v>
      </c>
      <c r="F14" s="64">
        <f>+E14/$E$24</f>
        <v>4.6977947541435869E-3</v>
      </c>
      <c r="G14" s="63">
        <f t="shared" ref="G14:G19" si="1">+F14*C14</f>
        <v>3.9148289617863229E-3</v>
      </c>
      <c r="H14" s="63">
        <f t="shared" ref="H14:H19" si="2">+(C14^2+C14)*E14</f>
        <v>0.76603566755889352</v>
      </c>
      <c r="J14" s="1"/>
      <c r="K14" s="48"/>
      <c r="M14" s="82"/>
      <c r="N14" s="10"/>
    </row>
    <row r="15" spans="1:15" ht="16.5" x14ac:dyDescent="0.3">
      <c r="A15" s="1"/>
      <c r="B15" s="65">
        <f>EDATE(B14,12)</f>
        <v>44515</v>
      </c>
      <c r="C15" s="66">
        <f>+C14+1</f>
        <v>1.8333333333333335</v>
      </c>
      <c r="D15" s="61">
        <v>0.5</v>
      </c>
      <c r="E15" s="66">
        <f t="shared" si="0"/>
        <v>0.50309657490519788</v>
      </c>
      <c r="F15" s="67">
        <f>+E15/$E$24</f>
        <v>4.7136420186101539E-3</v>
      </c>
      <c r="G15" s="66">
        <f t="shared" si="1"/>
        <v>8.6416770341186163E-3</v>
      </c>
      <c r="H15" s="66">
        <f t="shared" si="2"/>
        <v>2.6133072085353337</v>
      </c>
      <c r="J15" s="1"/>
      <c r="M15" s="82"/>
      <c r="N15" s="10"/>
    </row>
    <row r="16" spans="1:15" ht="16.5" x14ac:dyDescent="0.3">
      <c r="A16" s="1"/>
      <c r="B16" s="65">
        <f>EDATE(B15,12)</f>
        <v>44880</v>
      </c>
      <c r="C16" s="66">
        <f>+C15+1</f>
        <v>2.8333333333333335</v>
      </c>
      <c r="D16" s="61">
        <v>0.5</v>
      </c>
      <c r="E16" s="66">
        <f t="shared" si="0"/>
        <v>0.5047936912953328</v>
      </c>
      <c r="F16" s="67">
        <f>+E16/$E$24</f>
        <v>4.7295427413064257E-3</v>
      </c>
      <c r="G16" s="66">
        <f t="shared" si="1"/>
        <v>1.3400371100368206E-2</v>
      </c>
      <c r="H16" s="66">
        <f t="shared" si="2"/>
        <v>5.4826203693465319</v>
      </c>
      <c r="J16" s="1"/>
      <c r="M16" s="9"/>
      <c r="N16" s="10"/>
    </row>
    <row r="17" spans="1:14" ht="16.5" x14ac:dyDescent="0.3">
      <c r="A17" s="1"/>
      <c r="B17" s="65">
        <f>EDATE(B16,12)</f>
        <v>45245</v>
      </c>
      <c r="C17" s="66">
        <f>+C16+1</f>
        <v>3.8333333333333335</v>
      </c>
      <c r="D17" s="61">
        <v>0.5</v>
      </c>
      <c r="E17" s="66">
        <f t="shared" si="0"/>
        <v>0.50649653263806182</v>
      </c>
      <c r="F17" s="67">
        <f>+E17/$E$24</f>
        <v>4.7454971025652493E-3</v>
      </c>
      <c r="G17" s="66">
        <f t="shared" si="1"/>
        <v>1.8191072226500123E-2</v>
      </c>
      <c r="H17" s="66">
        <f t="shared" si="2"/>
        <v>9.3842552019329784</v>
      </c>
      <c r="J17" s="1"/>
      <c r="M17" s="9"/>
      <c r="N17" s="10"/>
    </row>
    <row r="18" spans="1:14" ht="16.5" x14ac:dyDescent="0.3">
      <c r="A18" s="1"/>
      <c r="B18" s="65">
        <f>EDATE(B17,12)</f>
        <v>45611</v>
      </c>
      <c r="C18" s="66">
        <f>+C17+1</f>
        <v>4.8333333333333339</v>
      </c>
      <c r="D18" s="61">
        <v>0.5</v>
      </c>
      <c r="E18" s="66">
        <f t="shared" si="0"/>
        <v>0.50820511824560366</v>
      </c>
      <c r="F18" s="67">
        <f>+E18/$E$24</f>
        <v>4.7615052833277979E-3</v>
      </c>
      <c r="G18" s="66">
        <f t="shared" si="1"/>
        <v>2.3013942202751027E-2</v>
      </c>
      <c r="H18" s="66">
        <f t="shared" si="2"/>
        <v>14.328560972757995</v>
      </c>
      <c r="J18" s="1"/>
      <c r="M18" s="9"/>
      <c r="N18" s="10"/>
    </row>
    <row r="19" spans="1:14" ht="16.5" x14ac:dyDescent="0.3">
      <c r="A19" s="1"/>
      <c r="B19" s="65">
        <f>EDATE(B18,12)</f>
        <v>45976</v>
      </c>
      <c r="C19" s="66">
        <f>+C18+1</f>
        <v>5.8333333333333339</v>
      </c>
      <c r="D19" s="61">
        <v>0.5</v>
      </c>
      <c r="E19" s="66">
        <f t="shared" si="0"/>
        <v>0.50991946749532291</v>
      </c>
      <c r="F19" s="67">
        <f>+E19/$E$24</f>
        <v>4.7775674651456173E-3</v>
      </c>
      <c r="G19" s="66">
        <f t="shared" si="1"/>
        <v>2.7869143546682771E-2</v>
      </c>
      <c r="H19" s="66">
        <f t="shared" si="2"/>
        <v>20.325956551549684</v>
      </c>
      <c r="J19" s="1"/>
      <c r="M19" s="9"/>
      <c r="N19" s="7"/>
    </row>
    <row r="20" spans="1:14" ht="16.5" x14ac:dyDescent="0.3">
      <c r="A20" s="1"/>
      <c r="B20" s="65">
        <f t="shared" ref="B20:B21" si="3">EDATE(B19,12)</f>
        <v>46341</v>
      </c>
      <c r="C20" s="66">
        <f t="shared" ref="C20:C21" si="4">+C19+1</f>
        <v>6.8333333333333339</v>
      </c>
      <c r="D20" s="61">
        <v>0.5</v>
      </c>
      <c r="E20" s="66">
        <f t="shared" ref="E20:E21" si="5">+D20*(1+$G$2)^-C20</f>
        <v>0.51163959982995111</v>
      </c>
      <c r="F20" s="67">
        <f t="shared" ref="F20:F21" si="6">+E20/$E$24</f>
        <v>4.7936838301826908E-3</v>
      </c>
      <c r="G20" s="66">
        <f t="shared" ref="G20:G21" si="7">+F20*C20</f>
        <v>3.2756839506248393E-2</v>
      </c>
      <c r="H20" s="66">
        <f t="shared" ref="H20:H21" si="8">+(C20^2+C20)*E20</f>
        <v>27.386930802008777</v>
      </c>
      <c r="J20" s="1"/>
      <c r="M20" s="9"/>
      <c r="N20" s="10"/>
    </row>
    <row r="21" spans="1:14" ht="16.5" x14ac:dyDescent="0.3">
      <c r="A21" s="1"/>
      <c r="B21" s="68">
        <f t="shared" si="3"/>
        <v>46706</v>
      </c>
      <c r="C21" s="69">
        <f t="shared" si="4"/>
        <v>7.8333333333333339</v>
      </c>
      <c r="D21" s="60">
        <v>100.5</v>
      </c>
      <c r="E21" s="69">
        <f t="shared" si="5"/>
        <v>103.18647248631919</v>
      </c>
      <c r="F21" s="70">
        <f t="shared" si="6"/>
        <v>0.96678076680471847</v>
      </c>
      <c r="G21" s="69">
        <f t="shared" si="7"/>
        <v>7.5731160066369618</v>
      </c>
      <c r="H21" s="66">
        <f t="shared" si="8"/>
        <v>7139.9306378728097</v>
      </c>
      <c r="I21" s="1"/>
      <c r="J21" s="1"/>
      <c r="M21" s="9"/>
      <c r="N21" s="10"/>
    </row>
    <row r="22" spans="1:14" ht="16.5" x14ac:dyDescent="0.3">
      <c r="A22" s="1"/>
      <c r="B22" s="71"/>
      <c r="C22" s="72"/>
      <c r="D22" s="73" t="s">
        <v>15</v>
      </c>
      <c r="E22" s="74">
        <f>SUM(E14:E21)</f>
        <v>106.73202863494903</v>
      </c>
      <c r="F22" s="75">
        <f>SUM(F14:F21)</f>
        <v>1</v>
      </c>
      <c r="G22" s="74">
        <f>SUM(G14:G21)</f>
        <v>7.7009038812154174</v>
      </c>
      <c r="H22" s="74">
        <f>SUM(H14:H21)</f>
        <v>7220.2183046464997</v>
      </c>
      <c r="I22" s="1"/>
      <c r="J22" s="1"/>
      <c r="L22" s="9"/>
      <c r="M22" s="9"/>
      <c r="N22" s="10"/>
    </row>
    <row r="23" spans="1:14" ht="16.5" x14ac:dyDescent="0.3">
      <c r="A23" s="1"/>
      <c r="B23" s="57"/>
      <c r="C23" s="56"/>
      <c r="D23" s="56"/>
      <c r="E23" s="56"/>
      <c r="F23" s="56"/>
      <c r="G23" s="56"/>
      <c r="H23" s="59"/>
      <c r="I23" s="1"/>
      <c r="J23" s="1"/>
      <c r="M23" s="9"/>
      <c r="N23" s="10"/>
    </row>
    <row r="24" spans="1:14" ht="16.5" x14ac:dyDescent="0.3">
      <c r="A24" s="1"/>
      <c r="B24" s="59" t="s">
        <v>18</v>
      </c>
      <c r="C24" s="59"/>
      <c r="D24" s="59"/>
      <c r="E24" s="63">
        <f>SUM(E14:E21)</f>
        <v>106.73202863494903</v>
      </c>
      <c r="F24" s="56"/>
      <c r="G24" s="56"/>
      <c r="H24" s="56"/>
      <c r="I24" s="1"/>
      <c r="J24" s="1"/>
      <c r="M24" s="9"/>
      <c r="N24" s="10"/>
    </row>
    <row r="25" spans="1:14" ht="16.5" x14ac:dyDescent="0.3">
      <c r="A25" s="1"/>
      <c r="B25" s="61" t="s">
        <v>6</v>
      </c>
      <c r="C25" s="61"/>
      <c r="D25" s="61"/>
      <c r="E25" s="66">
        <f>+G6/366*0.5</f>
        <v>8.3333333333333329E-2</v>
      </c>
      <c r="F25" s="56"/>
      <c r="G25" s="56"/>
      <c r="H25" s="58"/>
      <c r="I25" s="1"/>
      <c r="J25" s="1"/>
      <c r="M25" s="9"/>
      <c r="N25" s="10"/>
    </row>
    <row r="26" spans="1:14" ht="16.5" x14ac:dyDescent="0.3">
      <c r="A26" s="1"/>
      <c r="B26" s="60" t="s">
        <v>19</v>
      </c>
      <c r="C26" s="60"/>
      <c r="D26" s="60"/>
      <c r="E26" s="69">
        <f>+E24-E25</f>
        <v>106.6486953016157</v>
      </c>
      <c r="F26" s="56"/>
      <c r="G26" s="56"/>
      <c r="H26" s="56"/>
      <c r="I26" s="1"/>
      <c r="J26" s="11"/>
      <c r="M26" s="9"/>
      <c r="N26" s="10"/>
    </row>
    <row r="27" spans="1:14" ht="16.5" x14ac:dyDescent="0.3">
      <c r="A27" s="1"/>
      <c r="B27" s="56"/>
      <c r="C27" s="56"/>
      <c r="D27" s="56"/>
      <c r="E27" s="56"/>
      <c r="F27" s="56"/>
      <c r="G27" s="56"/>
      <c r="H27" s="56"/>
      <c r="I27" s="1"/>
      <c r="J27" s="11"/>
      <c r="M27" s="9"/>
      <c r="N27" s="10"/>
    </row>
    <row r="28" spans="1:14" ht="16.5" x14ac:dyDescent="0.3">
      <c r="A28" s="1"/>
      <c r="B28" s="59" t="s">
        <v>12</v>
      </c>
      <c r="C28" s="59"/>
      <c r="D28" s="59"/>
      <c r="E28" s="63">
        <f>+G22</f>
        <v>7.7009038812154174</v>
      </c>
      <c r="F28" s="56"/>
      <c r="G28" s="56"/>
      <c r="H28" s="56"/>
      <c r="I28" s="1"/>
      <c r="J28" s="1"/>
      <c r="M28" s="9"/>
      <c r="N28" s="10"/>
    </row>
    <row r="29" spans="1:14" ht="16.5" x14ac:dyDescent="0.3">
      <c r="A29" s="1"/>
      <c r="B29" s="61" t="s">
        <v>13</v>
      </c>
      <c r="C29" s="61"/>
      <c r="D29" s="61"/>
      <c r="E29" s="66">
        <f>+E28/(1+G2)</f>
        <v>7.7268816573474188</v>
      </c>
      <c r="F29" s="56"/>
      <c r="G29" s="56"/>
      <c r="H29" s="56"/>
      <c r="I29" s="1"/>
      <c r="J29" s="1"/>
      <c r="M29" s="9"/>
      <c r="N29" s="10"/>
    </row>
    <row r="30" spans="1:14" ht="16.5" x14ac:dyDescent="0.3">
      <c r="A30" s="1"/>
      <c r="B30" s="60" t="s">
        <v>14</v>
      </c>
      <c r="C30" s="60"/>
      <c r="D30" s="60"/>
      <c r="E30" s="69">
        <f>+E29*E24/100</f>
        <v>8.2470575431086726</v>
      </c>
      <c r="F30" s="56"/>
      <c r="G30" s="56"/>
      <c r="H30" s="56"/>
      <c r="I30" s="1"/>
      <c r="J30" s="1"/>
      <c r="M30" s="9"/>
      <c r="N30" s="10"/>
    </row>
    <row r="31" spans="1:14" x14ac:dyDescent="0.25">
      <c r="B31" s="72"/>
      <c r="C31" s="72"/>
      <c r="D31" s="72"/>
      <c r="E31" s="72"/>
      <c r="F31" s="56"/>
      <c r="G31" s="56"/>
      <c r="H31" s="56"/>
      <c r="M31" s="9"/>
      <c r="N31" s="10"/>
    </row>
    <row r="32" spans="1:14" x14ac:dyDescent="0.25">
      <c r="B32" s="72" t="s">
        <v>59</v>
      </c>
      <c r="C32" s="76"/>
      <c r="D32" s="72"/>
      <c r="E32" s="74">
        <f>+H22/(1+G2)^2*0.01^2</f>
        <v>0.72690129859906838</v>
      </c>
      <c r="F32" s="56"/>
      <c r="G32" s="56"/>
      <c r="H32" s="77"/>
      <c r="M32" s="9"/>
      <c r="N32" s="10"/>
    </row>
    <row r="33" spans="2:14" ht="16.5" x14ac:dyDescent="0.3">
      <c r="B33" s="50"/>
      <c r="C33" s="51"/>
      <c r="D33" s="5"/>
      <c r="E33" s="5"/>
      <c r="F33" s="1"/>
      <c r="G33" s="11"/>
      <c r="M33" s="9"/>
      <c r="N33" s="10"/>
    </row>
    <row r="34" spans="2:14" x14ac:dyDescent="0.25">
      <c r="M34" s="9"/>
      <c r="N34" s="10"/>
    </row>
    <row r="35" spans="2:14" x14ac:dyDescent="0.25">
      <c r="M35" s="9"/>
    </row>
    <row r="36" spans="2:14" x14ac:dyDescent="0.25">
      <c r="M36" s="9"/>
    </row>
    <row r="37" spans="2:14" x14ac:dyDescent="0.25">
      <c r="M37" s="9"/>
    </row>
    <row r="38" spans="2:14" x14ac:dyDescent="0.25">
      <c r="D38" s="8"/>
      <c r="E38" s="7"/>
      <c r="G38" s="8"/>
      <c r="H38" s="7"/>
      <c r="M38" s="9"/>
    </row>
    <row r="39" spans="2:14" x14ac:dyDescent="0.25">
      <c r="D39" s="8"/>
      <c r="E39" s="7"/>
      <c r="G39" s="8"/>
      <c r="M39" s="9"/>
    </row>
    <row r="40" spans="2:14" x14ac:dyDescent="0.25">
      <c r="D40" s="8"/>
      <c r="E40" s="7"/>
      <c r="G40" s="8"/>
      <c r="M40" s="9"/>
    </row>
    <row r="41" spans="2:14" x14ac:dyDescent="0.25">
      <c r="D41" s="8"/>
      <c r="E41" s="7"/>
      <c r="G41" s="8"/>
    </row>
    <row r="42" spans="2:14" x14ac:dyDescent="0.25">
      <c r="D42" s="8"/>
      <c r="E42" s="7"/>
      <c r="G42" s="8"/>
    </row>
    <row r="43" spans="2:14" x14ac:dyDescent="0.25">
      <c r="D43" s="8"/>
      <c r="E43" s="7"/>
      <c r="G43" s="8"/>
    </row>
    <row r="44" spans="2:14" x14ac:dyDescent="0.25">
      <c r="D44" s="8"/>
      <c r="E44" s="7"/>
      <c r="G44" s="8"/>
    </row>
  </sheetData>
  <mergeCells count="1">
    <mergeCell ref="B8:G8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showGridLines="0" workbookViewId="0">
      <selection activeCell="H11" sqref="H11"/>
    </sheetView>
  </sheetViews>
  <sheetFormatPr defaultRowHeight="15" x14ac:dyDescent="0.25"/>
  <cols>
    <col min="3" max="3" width="10.42578125" bestFit="1" customWidth="1"/>
    <col min="4" max="4" width="10.140625" bestFit="1" customWidth="1"/>
    <col min="5" max="5" width="10.28515625" bestFit="1" customWidth="1"/>
    <col min="6" max="6" width="10.140625" bestFit="1" customWidth="1"/>
    <col min="7" max="7" width="8.42578125" bestFit="1" customWidth="1"/>
    <col min="8" max="8" width="6.7109375" bestFit="1" customWidth="1"/>
    <col min="9" max="9" width="10.28515625" bestFit="1" customWidth="1"/>
    <col min="10" max="10" width="7.5703125" bestFit="1" customWidth="1"/>
    <col min="11" max="11" width="10" bestFit="1" customWidth="1"/>
  </cols>
  <sheetData>
    <row r="1" spans="1:28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.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6.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6.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7.25" x14ac:dyDescent="0.35">
      <c r="A5" s="1"/>
      <c r="B5" s="1"/>
      <c r="C5" s="89"/>
      <c r="D5" s="90" t="s">
        <v>30</v>
      </c>
      <c r="E5" s="90" t="s">
        <v>28</v>
      </c>
      <c r="F5" s="90" t="s">
        <v>35</v>
      </c>
      <c r="G5" s="90" t="s">
        <v>24</v>
      </c>
      <c r="H5" s="90" t="s">
        <v>25</v>
      </c>
      <c r="I5" s="90" t="s">
        <v>27</v>
      </c>
      <c r="J5" s="90" t="s">
        <v>32</v>
      </c>
      <c r="K5" s="90" t="s">
        <v>32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7.25" x14ac:dyDescent="0.35">
      <c r="A6" s="1"/>
      <c r="B6" s="1"/>
      <c r="C6" s="89"/>
      <c r="D6" s="91" t="s">
        <v>31</v>
      </c>
      <c r="E6" s="91" t="s">
        <v>29</v>
      </c>
      <c r="F6" s="91" t="s">
        <v>36</v>
      </c>
      <c r="G6" s="91" t="s">
        <v>12</v>
      </c>
      <c r="H6" s="91" t="s">
        <v>26</v>
      </c>
      <c r="I6" s="91" t="s">
        <v>12</v>
      </c>
      <c r="J6" s="91" t="s">
        <v>33</v>
      </c>
      <c r="K6" s="91" t="s">
        <v>34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7.25" x14ac:dyDescent="0.35">
      <c r="A7" s="1"/>
      <c r="B7" s="1"/>
      <c r="C7" s="92" t="s">
        <v>21</v>
      </c>
      <c r="D7" s="93">
        <v>10000000</v>
      </c>
      <c r="E7" s="94">
        <v>99.3</v>
      </c>
      <c r="F7" s="93">
        <f>+D7*E7/100</f>
        <v>9930000</v>
      </c>
      <c r="G7" s="94">
        <v>2.2000000000000002</v>
      </c>
      <c r="H7" s="95">
        <v>1.0999999999999999E-2</v>
      </c>
      <c r="I7" s="94">
        <f>+G7/(1+H7)</f>
        <v>2.1760633036597432</v>
      </c>
      <c r="J7" s="94">
        <f>+I7*E7/100</f>
        <v>2.1608308605341251</v>
      </c>
      <c r="K7" s="92">
        <v>1400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7.25" x14ac:dyDescent="0.35">
      <c r="A8" s="1"/>
      <c r="B8" s="1"/>
      <c r="C8" s="96" t="s">
        <v>22</v>
      </c>
      <c r="D8" s="97">
        <v>15000000</v>
      </c>
      <c r="E8" s="98">
        <v>101.5</v>
      </c>
      <c r="F8" s="97">
        <f>+D8*E8/100</f>
        <v>15225000</v>
      </c>
      <c r="G8" s="98">
        <v>4.8</v>
      </c>
      <c r="H8" s="99">
        <v>1.4999999999999999E-2</v>
      </c>
      <c r="I8" s="98">
        <f>+G8/(1+H8)</f>
        <v>4.7290640394088674</v>
      </c>
      <c r="J8" s="98">
        <f>+I8*E8/100</f>
        <v>4.8000000000000007</v>
      </c>
      <c r="K8" s="96">
        <v>3400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7.25" x14ac:dyDescent="0.35">
      <c r="A9" s="1"/>
      <c r="B9" s="1"/>
      <c r="C9" s="100" t="s">
        <v>23</v>
      </c>
      <c r="D9" s="101">
        <v>25000000</v>
      </c>
      <c r="E9" s="102">
        <v>102.8</v>
      </c>
      <c r="F9" s="101">
        <f>+D9*E9/100</f>
        <v>25700000</v>
      </c>
      <c r="G9" s="102">
        <v>10.5</v>
      </c>
      <c r="H9" s="103">
        <v>1.9E-2</v>
      </c>
      <c r="I9" s="102">
        <f>+G9/(1+H9)</f>
        <v>10.304219823356233</v>
      </c>
      <c r="J9" s="102">
        <f>+I9*E9/100</f>
        <v>10.592737978410208</v>
      </c>
      <c r="K9" s="102">
        <v>12000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7.25" x14ac:dyDescent="0.35">
      <c r="A10" s="1"/>
      <c r="B10" s="1"/>
      <c r="C10" s="89"/>
      <c r="D10" s="89"/>
      <c r="E10" s="89"/>
      <c r="F10" s="89"/>
      <c r="G10" s="89"/>
      <c r="H10" s="89"/>
      <c r="I10" s="89"/>
      <c r="J10" s="89"/>
      <c r="K10" s="8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7.25" x14ac:dyDescent="0.35">
      <c r="A11" s="1"/>
      <c r="B11" s="1"/>
      <c r="C11" s="104" t="s">
        <v>37</v>
      </c>
      <c r="D11" s="105">
        <f>SUM(D7:D9)</f>
        <v>50000000</v>
      </c>
      <c r="E11" s="104"/>
      <c r="F11" s="105">
        <f>SUM(F7:F9)</f>
        <v>50855000</v>
      </c>
      <c r="G11" s="106">
        <f>SUMPRODUCT(G7:G9,F7:F9)/SUM(F7:F9)</f>
        <v>7.1728640251695994</v>
      </c>
      <c r="H11" s="107">
        <f>SUMPRODUCT(H7:H9,J7:J9,D7:D9)/SUMPRODUCT(J7:J9,D7:D9)</f>
        <v>1.7714196252171591E-2</v>
      </c>
      <c r="I11" s="106">
        <f>SUMPRODUCT(I7:I9,F7:F9)/SUM(F7:F9)</f>
        <v>7.0480141198622839</v>
      </c>
      <c r="J11" s="106">
        <f>SUMPRODUCT(J7:J9,D7:D9)/SUM(D7:D9)</f>
        <v>7.1685351613119295</v>
      </c>
      <c r="K11" s="106">
        <f>SUMPRODUCT(K7:K9,D7:D9)/SUM(D7:D9)</f>
        <v>7300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.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.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.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5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.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.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6.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6.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6.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6.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6.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.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.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.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.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6.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6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6.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16.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16.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16.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16.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16.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6.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6.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6.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6.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6.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6.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16.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6.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6.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K13"/>
  <sheetViews>
    <sheetView showGridLines="0" topLeftCell="A5" workbookViewId="0">
      <selection activeCell="G10" sqref="G10"/>
    </sheetView>
  </sheetViews>
  <sheetFormatPr defaultRowHeight="15" x14ac:dyDescent="0.25"/>
  <cols>
    <col min="3" max="3" width="11.28515625" customWidth="1"/>
    <col min="4" max="4" width="8.28515625" bestFit="1" customWidth="1"/>
    <col min="5" max="5" width="10.140625" customWidth="1"/>
    <col min="6" max="6" width="9" customWidth="1"/>
    <col min="7" max="7" width="12.28515625" customWidth="1"/>
    <col min="8" max="8" width="10.85546875" customWidth="1"/>
    <col min="9" max="9" width="10.42578125" customWidth="1"/>
    <col min="11" max="11" width="12.140625" customWidth="1"/>
  </cols>
  <sheetData>
    <row r="2" spans="3:11" x14ac:dyDescent="0.25">
      <c r="C2" s="33">
        <v>2.9716826666423182E-2</v>
      </c>
    </row>
    <row r="5" spans="3:11" ht="16.5" x14ac:dyDescent="0.35">
      <c r="C5" s="12" t="s">
        <v>54</v>
      </c>
    </row>
    <row r="6" spans="3:11" ht="16.5" x14ac:dyDescent="0.35">
      <c r="C6" s="13"/>
      <c r="D6" s="13" t="s">
        <v>39</v>
      </c>
      <c r="E6" s="13" t="s">
        <v>38</v>
      </c>
      <c r="F6" s="54" t="s">
        <v>7</v>
      </c>
      <c r="G6" s="55"/>
      <c r="H6" s="54" t="s">
        <v>10</v>
      </c>
      <c r="I6" s="55"/>
      <c r="J6" s="54" t="s">
        <v>43</v>
      </c>
      <c r="K6" s="55"/>
    </row>
    <row r="7" spans="3:11" ht="16.5" x14ac:dyDescent="0.35">
      <c r="C7" s="14" t="s">
        <v>41</v>
      </c>
      <c r="D7" s="14" t="s">
        <v>40</v>
      </c>
      <c r="E7" s="14" t="s">
        <v>26</v>
      </c>
      <c r="F7" s="43" t="s">
        <v>44</v>
      </c>
      <c r="G7" s="44" t="s">
        <v>42</v>
      </c>
      <c r="H7" s="43" t="s">
        <v>44</v>
      </c>
      <c r="I7" s="44" t="s">
        <v>42</v>
      </c>
      <c r="J7" s="43" t="s">
        <v>44</v>
      </c>
      <c r="K7" s="44" t="s">
        <v>42</v>
      </c>
    </row>
    <row r="8" spans="3:11" ht="16.5" x14ac:dyDescent="0.35">
      <c r="C8" s="15"/>
      <c r="D8" s="15"/>
      <c r="E8" s="15"/>
      <c r="F8" s="34" t="s">
        <v>55</v>
      </c>
      <c r="G8" s="45" t="s">
        <v>56</v>
      </c>
      <c r="H8" s="34" t="s">
        <v>55</v>
      </c>
      <c r="I8" s="45" t="s">
        <v>56</v>
      </c>
      <c r="J8" s="34" t="s">
        <v>55</v>
      </c>
      <c r="K8" s="45" t="s">
        <v>56</v>
      </c>
    </row>
    <row r="9" spans="3:11" ht="16.5" x14ac:dyDescent="0.35">
      <c r="C9" s="14">
        <v>1</v>
      </c>
      <c r="D9" s="14">
        <v>2</v>
      </c>
      <c r="E9" s="22">
        <v>0.01</v>
      </c>
      <c r="F9" s="35">
        <f>+D9*(1+$C$2)^-C9</f>
        <v>1.942281555672684</v>
      </c>
      <c r="G9" s="41">
        <f>+D9*(1+E9)^-C9</f>
        <v>1.9801980198019802</v>
      </c>
      <c r="H9" s="37">
        <f>+F9/$F$13</f>
        <v>1.9972048835233666E-2</v>
      </c>
      <c r="I9" s="38">
        <f>+G9/$G$13</f>
        <v>2.0362564691700492E-2</v>
      </c>
      <c r="J9" s="35">
        <f>+H9*C9</f>
        <v>1.9972048835233666E-2</v>
      </c>
      <c r="K9" s="41">
        <f>+I9*C9</f>
        <v>2.0362564691700492E-2</v>
      </c>
    </row>
    <row r="10" spans="3:11" ht="16.5" x14ac:dyDescent="0.35">
      <c r="C10" s="14">
        <v>2</v>
      </c>
      <c r="D10" s="14">
        <v>2</v>
      </c>
      <c r="E10" s="22">
        <v>0.02</v>
      </c>
      <c r="F10" s="35">
        <f>+D10*(1+$C$2)^-C10</f>
        <v>1.886228820753151</v>
      </c>
      <c r="G10" s="41">
        <f>+D10*(1+E10)^-C10</f>
        <v>1.9223375624759709</v>
      </c>
      <c r="H10" s="37">
        <f>+F10/$F$13</f>
        <v>1.9395671040834232E-2</v>
      </c>
      <c r="I10" s="38">
        <f>+G10/$G$13</f>
        <v>1.9767580102477412E-2</v>
      </c>
      <c r="J10" s="35">
        <f>+H10*C10</f>
        <v>3.8791342081668463E-2</v>
      </c>
      <c r="K10" s="41">
        <f>+I10*C10</f>
        <v>3.9535160204954824E-2</v>
      </c>
    </row>
    <row r="11" spans="3:11" ht="16.5" x14ac:dyDescent="0.35">
      <c r="C11" s="15">
        <v>3</v>
      </c>
      <c r="D11" s="15">
        <v>102</v>
      </c>
      <c r="E11" s="23">
        <v>0.03</v>
      </c>
      <c r="F11" s="36">
        <f>+D11*(1+$C$2)^-C11</f>
        <v>93.421479932340603</v>
      </c>
      <c r="G11" s="42">
        <f>+D11*(1+E11)^-C11</f>
        <v>93.34444925402228</v>
      </c>
      <c r="H11" s="39">
        <f>+F11/$F$13</f>
        <v>0.96063228012393209</v>
      </c>
      <c r="I11" s="40">
        <f>+G11/$G$13</f>
        <v>0.95986985520582213</v>
      </c>
      <c r="J11" s="36">
        <f>+H11*C11</f>
        <v>2.8818968403717964</v>
      </c>
      <c r="K11" s="42">
        <f>+I11*C11</f>
        <v>2.8796095656174665</v>
      </c>
    </row>
    <row r="12" spans="3:11" ht="16.5" x14ac:dyDescent="0.35">
      <c r="C12" s="12"/>
      <c r="D12" s="12"/>
      <c r="E12" s="12"/>
      <c r="F12" s="24"/>
      <c r="G12" s="12"/>
      <c r="H12" s="12"/>
      <c r="I12" s="12"/>
      <c r="J12" s="25"/>
      <c r="K12" s="25"/>
    </row>
    <row r="13" spans="3:11" ht="16.5" x14ac:dyDescent="0.35">
      <c r="C13" s="12"/>
      <c r="D13" s="12"/>
      <c r="E13" s="16" t="s">
        <v>45</v>
      </c>
      <c r="F13" s="26">
        <f>SUM(F9:F11)</f>
        <v>97.249990308766442</v>
      </c>
      <c r="G13" s="26">
        <f>SUM(G9:G11)</f>
        <v>97.246984836300228</v>
      </c>
      <c r="H13" s="26"/>
      <c r="I13" s="26" t="s">
        <v>12</v>
      </c>
      <c r="J13" s="27">
        <f>SUM(J9:J11)</f>
        <v>2.9406602312886987</v>
      </c>
      <c r="K13" s="27">
        <f>SUM(K9:K11)</f>
        <v>2.939507290514122</v>
      </c>
    </row>
  </sheetData>
  <mergeCells count="3">
    <mergeCell ref="F6:G6"/>
    <mergeCell ref="H6:I6"/>
    <mergeCell ref="J6:K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1:N38"/>
  <sheetViews>
    <sheetView showGridLines="0" tabSelected="1" workbookViewId="0">
      <selection activeCell="M14" sqref="M14"/>
    </sheetView>
  </sheetViews>
  <sheetFormatPr defaultRowHeight="15" x14ac:dyDescent="0.25"/>
  <sheetData>
    <row r="11" spans="2:14" ht="16.5" x14ac:dyDescent="0.3">
      <c r="B11" s="28" t="s">
        <v>41</v>
      </c>
      <c r="C11" s="3" t="s">
        <v>38</v>
      </c>
      <c r="D11" s="2"/>
      <c r="E11" s="2"/>
      <c r="F11" s="3" t="s">
        <v>39</v>
      </c>
      <c r="G11" s="3" t="s">
        <v>46</v>
      </c>
      <c r="H11" s="3" t="s">
        <v>46</v>
      </c>
      <c r="I11" s="3" t="s">
        <v>46</v>
      </c>
      <c r="J11" s="1"/>
      <c r="K11" s="1"/>
      <c r="L11" s="1"/>
      <c r="M11" s="1"/>
      <c r="N11" s="1"/>
    </row>
    <row r="12" spans="2:14" ht="16.5" x14ac:dyDescent="0.3">
      <c r="B12" s="29" t="s">
        <v>47</v>
      </c>
      <c r="C12" s="4" t="s">
        <v>48</v>
      </c>
      <c r="D12" s="4" t="s">
        <v>57</v>
      </c>
      <c r="E12" s="4" t="s">
        <v>58</v>
      </c>
      <c r="F12" s="4" t="s">
        <v>40</v>
      </c>
      <c r="G12" s="4" t="s">
        <v>50</v>
      </c>
      <c r="H12" s="4" t="s">
        <v>51</v>
      </c>
      <c r="I12" s="4" t="s">
        <v>49</v>
      </c>
      <c r="J12" s="1"/>
      <c r="K12" s="1"/>
      <c r="L12" s="1"/>
      <c r="M12" s="1"/>
      <c r="N12" s="1"/>
    </row>
    <row r="13" spans="2:14" ht="16.5" x14ac:dyDescent="0.3">
      <c r="B13" s="3">
        <v>1</v>
      </c>
      <c r="C13" s="30">
        <v>0.01</v>
      </c>
      <c r="D13" s="30">
        <f>+C13+1%</f>
        <v>0.02</v>
      </c>
      <c r="E13" s="30">
        <f>+C13</f>
        <v>0.01</v>
      </c>
      <c r="F13" s="3">
        <v>2</v>
      </c>
      <c r="G13" s="17">
        <f>+F13*(1+C13)^-B13</f>
        <v>1.9801980198019802</v>
      </c>
      <c r="H13" s="17">
        <f>+F13*(1+D13)^-B13</f>
        <v>1.9607843137254901</v>
      </c>
      <c r="I13" s="17">
        <f>+F13*(1+E13)^-B13</f>
        <v>1.9801980198019802</v>
      </c>
      <c r="J13" s="1"/>
      <c r="K13" s="1"/>
      <c r="L13" s="1"/>
      <c r="M13" s="1"/>
      <c r="N13" s="1"/>
    </row>
    <row r="14" spans="2:14" ht="16.5" x14ac:dyDescent="0.3">
      <c r="B14" s="6">
        <v>2</v>
      </c>
      <c r="C14" s="31">
        <v>0.02</v>
      </c>
      <c r="D14" s="31">
        <f>+C14+0.5%</f>
        <v>2.5000000000000001E-2</v>
      </c>
      <c r="E14" s="31">
        <f>+D14</f>
        <v>2.5000000000000001E-2</v>
      </c>
      <c r="F14" s="6">
        <v>2</v>
      </c>
      <c r="G14" s="18">
        <f>+F14*(1+C14)^-B14</f>
        <v>1.9223375624759709</v>
      </c>
      <c r="H14" s="18">
        <f>+F14*(1+D14)^-B14</f>
        <v>1.9036287923854849</v>
      </c>
      <c r="I14" s="18">
        <f>+F14*(1+E14)^-B14</f>
        <v>1.9036287923854849</v>
      </c>
      <c r="J14" s="1"/>
      <c r="K14" s="1"/>
      <c r="L14" s="1"/>
      <c r="M14" s="1"/>
      <c r="N14" s="1"/>
    </row>
    <row r="15" spans="2:14" ht="16.5" x14ac:dyDescent="0.3">
      <c r="B15" s="4">
        <v>3</v>
      </c>
      <c r="C15" s="32">
        <v>0.03</v>
      </c>
      <c r="D15" s="32">
        <f>+C15</f>
        <v>0.03</v>
      </c>
      <c r="E15" s="32">
        <f>+D15+1%</f>
        <v>0.04</v>
      </c>
      <c r="F15" s="4">
        <v>102</v>
      </c>
      <c r="G15" s="19">
        <f>+F15*(1+C15)^-B15</f>
        <v>93.34444925402228</v>
      </c>
      <c r="H15" s="19">
        <f>+F15*(1+D15)^-B15</f>
        <v>93.34444925402228</v>
      </c>
      <c r="I15" s="19">
        <f>+F15*(1+E15)^-B15</f>
        <v>90.677628584433322</v>
      </c>
      <c r="J15" s="1"/>
      <c r="K15" s="1"/>
      <c r="L15" s="1"/>
      <c r="M15" s="1"/>
      <c r="N15" s="1"/>
    </row>
    <row r="16" spans="2:14" ht="16.5" x14ac:dyDescent="0.3">
      <c r="B16" s="1"/>
      <c r="C16" s="1"/>
      <c r="D16" s="1"/>
      <c r="E16" s="1"/>
      <c r="F16" s="1"/>
      <c r="G16" s="20"/>
      <c r="H16" s="20"/>
      <c r="I16" s="20"/>
      <c r="J16" s="1"/>
      <c r="K16" s="1"/>
      <c r="L16" s="1"/>
      <c r="M16" s="1"/>
      <c r="N16" s="1"/>
    </row>
    <row r="17" spans="2:14" ht="16.5" x14ac:dyDescent="0.3">
      <c r="B17" s="1"/>
      <c r="C17" s="1"/>
      <c r="D17" s="1"/>
      <c r="E17" s="1" t="s">
        <v>52</v>
      </c>
      <c r="F17" s="1"/>
      <c r="G17" s="21">
        <f>SUM(G13:G15)</f>
        <v>97.246984836300228</v>
      </c>
      <c r="H17" s="21">
        <f>SUM(H13:H15)</f>
        <v>97.208862360133253</v>
      </c>
      <c r="I17" s="21">
        <f>SUM(I13:I15)</f>
        <v>94.561455396620786</v>
      </c>
      <c r="J17" s="1"/>
      <c r="K17" s="1"/>
      <c r="L17" s="1"/>
      <c r="M17" s="1"/>
      <c r="N17" s="1"/>
    </row>
    <row r="18" spans="2:14" ht="16.5" x14ac:dyDescent="0.3">
      <c r="B18" s="1"/>
      <c r="C18" s="1"/>
      <c r="D18" s="1"/>
      <c r="E18" s="1"/>
      <c r="F18" s="1" t="s">
        <v>53</v>
      </c>
      <c r="G18" s="1"/>
      <c r="H18" s="21">
        <f>+H17-G17</f>
        <v>-3.8122476166975616E-2</v>
      </c>
      <c r="I18" s="21">
        <f>+I17-G17</f>
        <v>-2.685529439679442</v>
      </c>
      <c r="J18" s="1"/>
      <c r="K18" s="1"/>
      <c r="L18" s="1"/>
      <c r="M18" s="1"/>
      <c r="N18" s="1"/>
    </row>
    <row r="19" spans="2:14" ht="16.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 ht="16.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 ht="16.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 ht="16.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 ht="16.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 ht="16.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 ht="16.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 ht="16.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 ht="16.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 ht="16.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 ht="16.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 ht="16.5" x14ac:dyDescent="0.3">
      <c r="B30" s="1"/>
      <c r="C30" s="1"/>
      <c r="D30" s="1"/>
      <c r="E30" s="1"/>
      <c r="F30" s="1"/>
      <c r="G30" s="1">
        <f>2.6*10^0.5*3</f>
        <v>24.665765749313366</v>
      </c>
      <c r="H30" s="1"/>
      <c r="I30" s="1"/>
      <c r="J30" s="1"/>
      <c r="K30" s="1"/>
      <c r="L30" s="1"/>
      <c r="M30" s="1"/>
      <c r="N30" s="1"/>
    </row>
    <row r="31" spans="2:14" ht="16.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6.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 ht="16.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 ht="16.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 ht="16.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 ht="16.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 ht="16.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 ht="16.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 2.1</vt:lpstr>
      <vt:lpstr>Tabel 2.3</vt:lpstr>
      <vt:lpstr>Tabel 2.4</vt:lpstr>
      <vt:lpstr>Tabel 2.5</vt:lpstr>
      <vt:lpstr>Figur 2.9 og tabel 2.7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</dc:creator>
  <cp:lastModifiedBy>Jørgen Just Andresen</cp:lastModifiedBy>
  <cp:lastPrinted>2020-01-21T13:54:24Z</cp:lastPrinted>
  <dcterms:created xsi:type="dcterms:W3CDTF">2012-06-05T09:10:51Z</dcterms:created>
  <dcterms:modified xsi:type="dcterms:W3CDTF">2020-01-22T17:04:23Z</dcterms:modified>
</cp:coreProperties>
</file>