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l\Desktop\Ekstramateriale til Finansiel Risikostyring\"/>
    </mc:Choice>
  </mc:AlternateContent>
  <xr:revisionPtr revIDLastSave="0" documentId="8_{A5B1E4A9-8DB6-44BF-826B-3907B01297F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eregninger af VaR-tal" sheetId="2" r:id="rId1"/>
    <sheet name="Tabel 5.1" sheetId="4" r:id="rId2"/>
    <sheet name="Nøglerentevarighed" sheetId="3" r:id="rId3"/>
  </sheets>
  <definedNames>
    <definedName name="ExpShortfall">'Beregninger af VaR-tal'!$D$18</definedName>
    <definedName name="KonfidensProcent">'Beregninger af VaR-tal'!$D$14</definedName>
    <definedName name="Markedsværdi">'Beregninger af VaR-tal'!$D$12</definedName>
    <definedName name="Pi">'Beregninger af VaR-tal'!$D$17</definedName>
    <definedName name="PortVol">'Beregninger af VaR-tal'!$E$8</definedName>
    <definedName name="solver_adj" localSheetId="0" hidden="1">'Beregninger af VaR-tal'!$D$23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'Beregninger af VaR-tal'!$D$27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53.3</definedName>
    <definedName name="solver_ver" localSheetId="0" hidden="1">3</definedName>
    <definedName name="StdAfv">'Beregninger af VaR-tal'!$D$15</definedName>
    <definedName name="Tid">'Beregninger af VaR-tal'!$D$13</definedName>
    <definedName name="ValueAtRisk">'Beregninger af VaR-tal'!$D$16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2" l="1"/>
  <c r="F7" i="4" l="1"/>
  <c r="F8" i="4" a="1"/>
  <c r="F8" i="4" s="1"/>
  <c r="F4" i="4"/>
  <c r="F5" i="4"/>
  <c r="F6" i="4"/>
  <c r="F3" i="4"/>
  <c r="K6" i="4"/>
  <c r="J6" i="4"/>
  <c r="J5" i="4"/>
  <c r="I6" i="4"/>
  <c r="I5" i="4"/>
  <c r="I4" i="4"/>
  <c r="D6" i="2"/>
  <c r="C6" i="2" s="1"/>
  <c r="C7" i="2"/>
  <c r="F7" i="2" s="1"/>
  <c r="S8" i="2"/>
  <c r="S7" i="2"/>
  <c r="R7" i="2"/>
  <c r="G30" i="3" l="1"/>
  <c r="H15" i="3"/>
  <c r="G15" i="3"/>
  <c r="E15" i="3"/>
  <c r="I15" i="3" s="1"/>
  <c r="D15" i="3"/>
  <c r="G14" i="3"/>
  <c r="D14" i="3"/>
  <c r="H14" i="3" s="1"/>
  <c r="I13" i="3"/>
  <c r="H13" i="3"/>
  <c r="H17" i="3" s="1"/>
  <c r="H18" i="3" s="1"/>
  <c r="G13" i="3"/>
  <c r="G17" i="3" s="1"/>
  <c r="E13" i="3"/>
  <c r="D13" i="3"/>
  <c r="E14" i="3" l="1"/>
  <c r="I14" i="3" s="1"/>
  <c r="I17" i="3" s="1"/>
  <c r="I18" i="3" s="1"/>
  <c r="D17" i="2" l="1"/>
  <c r="E2" i="2" l="1"/>
  <c r="D15" i="2"/>
  <c r="R8" i="2"/>
  <c r="L7" i="2" l="1"/>
  <c r="D8" i="2" l="1"/>
  <c r="E8" i="2" l="1"/>
  <c r="H6" i="2" a="1"/>
  <c r="H6" i="2" l="1"/>
  <c r="H7" i="2"/>
  <c r="I6" i="2" l="1"/>
  <c r="J6" i="2" s="1"/>
  <c r="L6" i="2"/>
  <c r="C23" i="2" a="1"/>
  <c r="C23" i="2" s="1"/>
  <c r="F6" i="2"/>
  <c r="F8" i="2" s="1"/>
  <c r="D12" i="2"/>
  <c r="C22" i="2"/>
  <c r="D16" i="2" l="1"/>
  <c r="G7" i="2"/>
  <c r="G6" i="2"/>
  <c r="D18" i="2"/>
  <c r="L8" i="2"/>
  <c r="L9" i="2" s="1"/>
  <c r="F9" i="2"/>
  <c r="I7" i="2"/>
  <c r="J8" i="2" s="1"/>
  <c r="K6" i="2" s="1"/>
  <c r="K7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<sst xmlns="http://schemas.openxmlformats.org/spreadsheetml/2006/main" count="61" uniqueCount="50">
  <si>
    <t>Vægt</t>
  </si>
  <si>
    <t>Daglig vol</t>
  </si>
  <si>
    <t>VaR</t>
  </si>
  <si>
    <t>Incremental</t>
  </si>
  <si>
    <t>Portefølje</t>
  </si>
  <si>
    <t>kovariansmatrix</t>
  </si>
  <si>
    <t>Alpha</t>
  </si>
  <si>
    <t>Konfidens</t>
  </si>
  <si>
    <t>Tid</t>
  </si>
  <si>
    <t>MV</t>
  </si>
  <si>
    <t>Novo Nordisk</t>
  </si>
  <si>
    <t>Korrelation</t>
  </si>
  <si>
    <t>Horisont (dage)</t>
  </si>
  <si>
    <t>Komponent</t>
  </si>
  <si>
    <t>Marginal</t>
  </si>
  <si>
    <t>Mellem-</t>
  </si>
  <si>
    <t>regning</t>
  </si>
  <si>
    <t>VaR (i %)</t>
  </si>
  <si>
    <t>PI</t>
  </si>
  <si>
    <t>Expected</t>
  </si>
  <si>
    <t>Shortfall</t>
  </si>
  <si>
    <t>Diversifikation</t>
  </si>
  <si>
    <t>Nulkupon-</t>
  </si>
  <si>
    <t>Cash</t>
  </si>
  <si>
    <t>Pris</t>
  </si>
  <si>
    <t>år</t>
  </si>
  <si>
    <t>kurve</t>
  </si>
  <si>
    <t>Chok 1</t>
  </si>
  <si>
    <t>Chok 2</t>
  </si>
  <si>
    <t>Flow</t>
  </si>
  <si>
    <t>i dag</t>
  </si>
  <si>
    <t>shock 1</t>
  </si>
  <si>
    <t>Shock 2</t>
  </si>
  <si>
    <t>Nutidsværdi:</t>
  </si>
  <si>
    <t>Følsomhed:</t>
  </si>
  <si>
    <t>Danske Bank</t>
  </si>
  <si>
    <t>VaR, metode 1</t>
  </si>
  <si>
    <t>VaR, metode 3</t>
  </si>
  <si>
    <t>Børsnoterede aktier</t>
  </si>
  <si>
    <t>Private Equity</t>
  </si>
  <si>
    <t>Ejendomme</t>
  </si>
  <si>
    <t>Statsobligationer</t>
  </si>
  <si>
    <t>M DKK</t>
  </si>
  <si>
    <t>Volatilitet</t>
  </si>
  <si>
    <t>Årlig</t>
  </si>
  <si>
    <t xml:space="preserve">10-dages </t>
  </si>
  <si>
    <t>VaR, 99%</t>
  </si>
  <si>
    <t>Korrelationer</t>
  </si>
  <si>
    <t>Portefølje VaR</t>
  </si>
  <si>
    <t>ES (97,5%)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</si>
</sst>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_ * #,##0.00_ ;_ * \-#,##0.00_ ;_ * &quot;-&quot;??_ ;_ @_ "/>
    <numFmt numFmtId="165" formatCode="_(* #,##0.00_);_(* \(#,##0.00\);_(* &quot;-&quot;??_);_(@_)"/>
    <numFmt numFmtId="166" formatCode="0.0%"/>
    <numFmt numFmtId="167" formatCode="0.000"/>
    <numFmt numFmtId="168" formatCode="0.0000"/>
    <numFmt numFmtId="169" formatCode="0.000000"/>
    <numFmt numFmtId="170" formatCode="0.000%"/>
    <numFmt numFmtId="171" formatCode="_ * #,##0.000_ ;_ * \-#,##0.000_ ;_ * &quot;-&quot;??_ ;_ @_ "/>
    <numFmt numFmtId="172" formatCode="_-* #,##0.000\ _k_r_._-;\-* #,##0.000\ _k_r_._-;_-* &quot;-&quot;???\ _k_r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242729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Trebuchet MS"/>
      <family val="2"/>
    </font>
    <font>
      <sz val="9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9" fontId="0" fillId="0" borderId="0" xfId="1" applyFont="1"/>
    <xf numFmtId="166" fontId="0" fillId="0" borderId="0" xfId="0" applyNumberFormat="1"/>
    <xf numFmtId="0" fontId="0" fillId="0" borderId="2" xfId="0" applyBorder="1"/>
    <xf numFmtId="166" fontId="0" fillId="0" borderId="2" xfId="1" applyNumberFormat="1" applyFont="1" applyBorder="1"/>
    <xf numFmtId="0" fontId="0" fillId="0" borderId="3" xfId="0" applyBorder="1"/>
    <xf numFmtId="166" fontId="0" fillId="0" borderId="3" xfId="1" applyNumberFormat="1" applyFont="1" applyBorder="1"/>
    <xf numFmtId="0" fontId="0" fillId="0" borderId="1" xfId="0" applyBorder="1"/>
    <xf numFmtId="9" fontId="0" fillId="0" borderId="1" xfId="1" applyFont="1" applyBorder="1"/>
    <xf numFmtId="2" fontId="0" fillId="0" borderId="1" xfId="0" applyNumberFormat="1" applyBorder="1"/>
    <xf numFmtId="0" fontId="4" fillId="0" borderId="0" xfId="0" applyFont="1"/>
    <xf numFmtId="168" fontId="0" fillId="0" borderId="0" xfId="0" applyNumberFormat="1"/>
    <xf numFmtId="169" fontId="0" fillId="0" borderId="0" xfId="0" applyNumberFormat="1"/>
    <xf numFmtId="2" fontId="0" fillId="0" borderId="0" xfId="0" applyNumberFormat="1"/>
    <xf numFmtId="167" fontId="0" fillId="0" borderId="3" xfId="0" applyNumberFormat="1" applyBorder="1"/>
    <xf numFmtId="167" fontId="0" fillId="0" borderId="2" xfId="0" applyNumberFormat="1" applyBorder="1"/>
    <xf numFmtId="167" fontId="0" fillId="0" borderId="1" xfId="0" applyNumberFormat="1" applyBorder="1"/>
    <xf numFmtId="167" fontId="0" fillId="0" borderId="0" xfId="0" applyNumberFormat="1"/>
    <xf numFmtId="170" fontId="0" fillId="0" borderId="1" xfId="1" applyNumberFormat="1" applyFont="1" applyBorder="1"/>
    <xf numFmtId="169" fontId="0" fillId="0" borderId="2" xfId="0" applyNumberFormat="1" applyBorder="1"/>
    <xf numFmtId="169" fontId="0" fillId="0" borderId="3" xfId="0" applyNumberFormat="1" applyBorder="1"/>
    <xf numFmtId="171" fontId="0" fillId="0" borderId="2" xfId="5" applyNumberFormat="1" applyFont="1" applyBorder="1"/>
    <xf numFmtId="171" fontId="0" fillId="0" borderId="3" xfId="5" applyNumberFormat="1" applyFont="1" applyBorder="1"/>
    <xf numFmtId="171" fontId="0" fillId="0" borderId="1" xfId="5" applyNumberFormat="1" applyFont="1" applyBorder="1"/>
    <xf numFmtId="171" fontId="0" fillId="0" borderId="0" xfId="5" applyNumberFormat="1" applyFont="1"/>
    <xf numFmtId="170" fontId="0" fillId="0" borderId="2" xfId="1" applyNumberFormat="1" applyFont="1" applyBorder="1"/>
    <xf numFmtId="170" fontId="0" fillId="0" borderId="3" xfId="1" applyNumberFormat="1" applyFont="1" applyBorder="1"/>
    <xf numFmtId="172" fontId="0" fillId="0" borderId="0" xfId="0" applyNumberFormat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0" fontId="5" fillId="0" borderId="0" xfId="0" applyFont="1"/>
    <xf numFmtId="0" fontId="5" fillId="0" borderId="3" xfId="0" applyFont="1" applyBorder="1" applyAlignment="1">
      <alignment horizontal="right"/>
    </xf>
    <xf numFmtId="0" fontId="5" fillId="0" borderId="3" xfId="0" applyFont="1" applyBorder="1"/>
    <xf numFmtId="166" fontId="5" fillId="0" borderId="2" xfId="1" applyNumberFormat="1" applyFont="1" applyBorder="1"/>
    <xf numFmtId="2" fontId="5" fillId="0" borderId="2" xfId="0" applyNumberFormat="1" applyFont="1" applyBorder="1"/>
    <xf numFmtId="166" fontId="5" fillId="0" borderId="0" xfId="1" applyNumberFormat="1" applyFont="1" applyBorder="1"/>
    <xf numFmtId="2" fontId="5" fillId="0" borderId="0" xfId="0" applyNumberFormat="1" applyFont="1"/>
    <xf numFmtId="166" fontId="5" fillId="0" borderId="3" xfId="1" applyNumberFormat="1" applyFont="1" applyBorder="1"/>
    <xf numFmtId="2" fontId="5" fillId="0" borderId="3" xfId="0" applyNumberFormat="1" applyFont="1" applyBorder="1"/>
    <xf numFmtId="2" fontId="5" fillId="0" borderId="1" xfId="0" applyNumberFormat="1" applyFont="1" applyBorder="1"/>
    <xf numFmtId="10" fontId="0" fillId="0" borderId="0" xfId="1" applyNumberFormat="1" applyFont="1"/>
    <xf numFmtId="10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6" fillId="0" borderId="2" xfId="0" applyFont="1" applyBorder="1"/>
    <xf numFmtId="10" fontId="6" fillId="0" borderId="2" xfId="0" applyNumberFormat="1" applyFont="1" applyBorder="1"/>
    <xf numFmtId="2" fontId="6" fillId="0" borderId="2" xfId="0" applyNumberFormat="1" applyFont="1" applyBorder="1"/>
    <xf numFmtId="10" fontId="6" fillId="0" borderId="0" xfId="0" applyNumberFormat="1" applyFont="1"/>
    <xf numFmtId="0" fontId="6" fillId="0" borderId="3" xfId="0" applyFont="1" applyBorder="1"/>
    <xf numFmtId="10" fontId="6" fillId="0" borderId="3" xfId="0" applyNumberFormat="1" applyFont="1" applyBorder="1"/>
    <xf numFmtId="2" fontId="6" fillId="0" borderId="3" xfId="0" applyNumberFormat="1" applyFont="1" applyBorder="1"/>
    <xf numFmtId="169" fontId="0" fillId="0" borderId="4" xfId="0" applyNumberFormat="1" applyBorder="1"/>
    <xf numFmtId="169" fontId="0" fillId="0" borderId="5" xfId="5" applyNumberFormat="1" applyFont="1" applyBorder="1"/>
    <xf numFmtId="169" fontId="0" fillId="0" borderId="6" xfId="0" applyNumberFormat="1" applyBorder="1"/>
    <xf numFmtId="169" fontId="0" fillId="0" borderId="7" xfId="0" applyNumberFormat="1" applyBorder="1"/>
    <xf numFmtId="0" fontId="3" fillId="0" borderId="0" xfId="0" applyFont="1"/>
  </cellXfs>
  <cellStyles count="6">
    <cellStyle name="Comma 2" xfId="3" xr:uid="{00000000-0005-0000-0000-000000000000}"/>
    <cellStyle name="Komma" xfId="5" builtinId="3"/>
    <cellStyle name="Normal" xfId="0" builtinId="0"/>
    <cellStyle name="Normal 2" xfId="2" xr:uid="{00000000-0005-0000-0000-000003000000}"/>
    <cellStyle name="Percent 2" xfId="4" xr:uid="{00000000-0005-0000-0000-000004000000}"/>
    <cellStyle name="Procent" xfId="1" builtinId="5"/>
  </cellStyles>
  <dxfs count="0"/>
  <tableStyles count="1" defaultTableStyle="TableStyleMedium2" defaultPivotStyle="PivotStyleLight16">
    <tableStyle name="Invisible" pivot="0" table="0" count="0" xr9:uid="{3A5D4582-D4CD-4690-9AF8-0753F53510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780183727034121E-2"/>
          <c:y val="5.1400554097404488E-2"/>
          <c:w val="0.82502362204724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Nulkuponkurve i dag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val>
            <c:numLit>
              <c:formatCode>General</c:formatCode>
              <c:ptCount val="3"/>
              <c:pt idx="0">
                <c:v>0.01</c:v>
              </c:pt>
              <c:pt idx="1">
                <c:v>0.02</c:v>
              </c:pt>
              <c:pt idx="2">
                <c:v>0.03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17-4356-AABE-98516441F3C8}"/>
            </c:ext>
          </c:extLst>
        </c:ser>
        <c:ser>
          <c:idx val="1"/>
          <c:order val="1"/>
          <c:tx>
            <c:v>Chok 1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3"/>
              <c:pt idx="0">
                <c:v>0.02</c:v>
              </c:pt>
              <c:pt idx="1">
                <c:v>2.5000000000000001E-2</c:v>
              </c:pt>
              <c:pt idx="2">
                <c:v>0.03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17-4356-AABE-98516441F3C8}"/>
            </c:ext>
          </c:extLst>
        </c:ser>
        <c:ser>
          <c:idx val="2"/>
          <c:order val="2"/>
          <c:tx>
            <c:v>Chok 2</c:v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val>
            <c:numLit>
              <c:formatCode>General</c:formatCode>
              <c:ptCount val="3"/>
              <c:pt idx="0">
                <c:v>0.01</c:v>
              </c:pt>
              <c:pt idx="1">
                <c:v>2.5000000000000001E-2</c:v>
              </c:pt>
              <c:pt idx="2">
                <c:v>0.04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17-4356-AABE-98516441F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17056"/>
        <c:axId val="34318976"/>
      </c:lineChart>
      <c:catAx>
        <c:axId val="3431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År</a:t>
                </a:r>
              </a:p>
            </c:rich>
          </c:tx>
          <c:layout>
            <c:manualLayout>
              <c:xMode val="edge"/>
              <c:yMode val="edge"/>
              <c:x val="0.43682655293088368"/>
              <c:y val="0.91571741032370957"/>
            </c:manualLayout>
          </c:layout>
          <c:overlay val="0"/>
        </c:title>
        <c:majorTickMark val="out"/>
        <c:minorTickMark val="none"/>
        <c:tickLblPos val="nextTo"/>
        <c:crossAx val="34318976"/>
        <c:crosses val="autoZero"/>
        <c:auto val="1"/>
        <c:lblAlgn val="ctr"/>
        <c:lblOffset val="100"/>
        <c:noMultiLvlLbl val="0"/>
      </c:catAx>
      <c:valAx>
        <c:axId val="343189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100" b="0">
                    <a:latin typeface="Trebuchet MS" pitchFamily="34" charset="0"/>
                  </a:defRPr>
                </a:pPr>
                <a:r>
                  <a:rPr lang="en-US" sz="1100" b="0">
                    <a:latin typeface="Trebuchet MS" pitchFamily="34" charset="0"/>
                  </a:rPr>
                  <a:t>Nulkupon-rente</a:t>
                </a:r>
              </a:p>
            </c:rich>
          </c:tx>
          <c:layout>
            <c:manualLayout>
              <c:xMode val="edge"/>
              <c:yMode val="edge"/>
              <c:x val="0.11905086762940058"/>
              <c:y val="2.412219305920093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34317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824825021872261"/>
          <c:y val="0.54572032662583847"/>
          <c:w val="0.39230943500483489"/>
          <c:h val="0.32522564887722366"/>
        </c:manualLayout>
      </c:layout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676275</xdr:colOff>
      <xdr:row>14</xdr:row>
      <xdr:rowOff>180975</xdr:rowOff>
    </xdr:from>
    <xdr:ext cx="3403945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C3D30F-252D-EF2C-CB46-053233DFCBFF}"/>
            </a:ext>
          </a:extLst>
        </xdr:cNvPr>
        <xdr:cNvSpPr txBox="1"/>
      </xdr:nvSpPr>
      <xdr:spPr>
        <a:xfrm>
          <a:off x="4705350" y="2867025"/>
          <a:ext cx="340394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Viser at man med VaR 99%</a:t>
          </a:r>
          <a:r>
            <a:rPr lang="en-GB" sz="1100" baseline="0"/>
            <a:t> opnår stort set samme tal</a:t>
          </a:r>
        </a:p>
        <a:p>
          <a:r>
            <a:rPr lang="en-GB" sz="1100" baseline="0"/>
            <a:t>som ved beregning af Expected Shortfall med 97,5% ved</a:t>
          </a:r>
        </a:p>
        <a:p>
          <a:r>
            <a:rPr lang="en-GB" sz="1100" baseline="0"/>
            <a:t>brug af antagelse om normalfordelte afkast</a:t>
          </a:r>
          <a:endParaRPr lang="en-GB" sz="1100"/>
        </a:p>
      </xdr:txBody>
    </xdr:sp>
    <xdr:clientData/>
  </xdr:oneCellAnchor>
  <xdr:twoCellAnchor>
    <xdr:from>
      <xdr:col>6</xdr:col>
      <xdr:colOff>9525</xdr:colOff>
      <xdr:row>7</xdr:row>
      <xdr:rowOff>180975</xdr:rowOff>
    </xdr:from>
    <xdr:to>
      <xdr:col>6</xdr:col>
      <xdr:colOff>809625</xdr:colOff>
      <xdr:row>14</xdr:row>
      <xdr:rowOff>133350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17EE500-10C7-3AC8-9CD3-D7D0B8C6950C}"/>
            </a:ext>
          </a:extLst>
        </xdr:cNvPr>
        <xdr:cNvCxnSpPr/>
      </xdr:nvCxnSpPr>
      <xdr:spPr>
        <a:xfrm flipH="1" flipV="1">
          <a:off x="4038600" y="1524000"/>
          <a:ext cx="800100" cy="129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16</xdr:row>
      <xdr:rowOff>142875</xdr:rowOff>
    </xdr:from>
    <xdr:to>
      <xdr:col>6</xdr:col>
      <xdr:colOff>552450</xdr:colOff>
      <xdr:row>17</xdr:row>
      <xdr:rowOff>114300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CCE16F2-08CF-4004-AA04-576858B73761}"/>
            </a:ext>
          </a:extLst>
        </xdr:cNvPr>
        <xdr:cNvCxnSpPr/>
      </xdr:nvCxnSpPr>
      <xdr:spPr>
        <a:xfrm flipH="1">
          <a:off x="2867025" y="3209925"/>
          <a:ext cx="171450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147637</xdr:rowOff>
    </xdr:from>
    <xdr:to>
      <xdr:col>10</xdr:col>
      <xdr:colOff>257175</xdr:colOff>
      <xdr:row>36</xdr:row>
      <xdr:rowOff>166687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95EB4B2-CF75-4929-85C1-F76E9EC4AD4A}"/>
            </a:ext>
          </a:extLst>
        </xdr:cNvPr>
        <xdr:cNvGrpSpPr/>
      </xdr:nvGrpSpPr>
      <xdr:grpSpPr>
        <a:xfrm>
          <a:off x="1828800" y="4776787"/>
          <a:ext cx="4524375" cy="2743200"/>
          <a:chOff x="2438400" y="3290887"/>
          <a:chExt cx="4705350" cy="27432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AC7C17DF-B5EF-4030-98C4-347C1BD1153B}"/>
              </a:ext>
            </a:extLst>
          </xdr:cNvPr>
          <xdr:cNvGraphicFramePr/>
        </xdr:nvGraphicFramePr>
        <xdr:xfrm>
          <a:off x="2438400" y="3290887"/>
          <a:ext cx="470535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B907F814-6CAE-41A9-8832-758D5BCCEFA7}"/>
              </a:ext>
            </a:extLst>
          </xdr:cNvPr>
          <xdr:cNvSpPr txBox="1"/>
        </xdr:nvSpPr>
        <xdr:spPr>
          <a:xfrm>
            <a:off x="3267075" y="5229225"/>
            <a:ext cx="1456296" cy="2561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a-DK" sz="1100">
                <a:latin typeface="Trebuchet MS" pitchFamily="34" charset="0"/>
              </a:rPr>
              <a:t>Nutidsværdi</a:t>
            </a:r>
            <a:r>
              <a:rPr lang="da-DK" sz="1100" baseline="0">
                <a:latin typeface="Trebuchet MS" pitchFamily="34" charset="0"/>
              </a:rPr>
              <a:t> = 97,25</a:t>
            </a:r>
            <a:endParaRPr lang="da-DK" sz="1100">
              <a:latin typeface="Trebuchet MS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43A561AA-6F30-41E8-9378-D286B5726699}"/>
              </a:ext>
            </a:extLst>
          </xdr:cNvPr>
          <xdr:cNvSpPr txBox="1"/>
        </xdr:nvSpPr>
        <xdr:spPr>
          <a:xfrm>
            <a:off x="3048000" y="4276725"/>
            <a:ext cx="1456296" cy="2561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a-DK" sz="1100">
                <a:latin typeface="Trebuchet MS" pitchFamily="34" charset="0"/>
              </a:rPr>
              <a:t>Nutidsværdi</a:t>
            </a:r>
            <a:r>
              <a:rPr lang="da-DK" sz="1100" baseline="0">
                <a:latin typeface="Trebuchet MS" pitchFamily="34" charset="0"/>
              </a:rPr>
              <a:t> = 97,21</a:t>
            </a:r>
            <a:endParaRPr lang="da-DK" sz="1100">
              <a:latin typeface="Trebuchet MS" pitchFamily="34" charset="0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A4608FD0-4E67-4F69-A58F-D02EEA822CC5}"/>
              </a:ext>
            </a:extLst>
          </xdr:cNvPr>
          <xdr:cNvSpPr txBox="1"/>
        </xdr:nvSpPr>
        <xdr:spPr>
          <a:xfrm>
            <a:off x="4953000" y="3390900"/>
            <a:ext cx="1456296" cy="2561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a-DK" sz="1100">
                <a:latin typeface="Trebuchet MS" pitchFamily="34" charset="0"/>
              </a:rPr>
              <a:t>Nutidsværdi</a:t>
            </a:r>
            <a:r>
              <a:rPr lang="da-DK" sz="1100" baseline="0">
                <a:latin typeface="Trebuchet MS" pitchFamily="34" charset="0"/>
              </a:rPr>
              <a:t> = 94,56</a:t>
            </a:r>
            <a:endParaRPr lang="da-DK" sz="1100">
              <a:latin typeface="Trebuchet MS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5"/>
  <sheetViews>
    <sheetView showGridLines="0" tabSelected="1" workbookViewId="0">
      <selection activeCell="H27" sqref="H26:H27"/>
    </sheetView>
  </sheetViews>
  <sheetFormatPr defaultRowHeight="15" x14ac:dyDescent="0.25"/>
  <cols>
    <col min="2" max="2" width="12.140625" bestFit="1" customWidth="1"/>
    <col min="3" max="3" width="8.7109375" customWidth="1"/>
    <col min="4" max="4" width="12.140625" customWidth="1"/>
    <col min="7" max="7" width="12.28515625" bestFit="1" customWidth="1"/>
    <col min="8" max="8" width="10.7109375" bestFit="1" customWidth="1"/>
    <col min="9" max="9" width="9.5703125" bestFit="1" customWidth="1"/>
    <col min="10" max="10" width="12.28515625" customWidth="1"/>
    <col min="11" max="11" width="11.28515625" customWidth="1"/>
    <col min="12" max="12" width="11.7109375" customWidth="1"/>
    <col min="15" max="15" width="3" customWidth="1"/>
  </cols>
  <sheetData>
    <row r="2" spans="1:19" x14ac:dyDescent="0.25">
      <c r="B2" t="s">
        <v>7</v>
      </c>
      <c r="D2" s="1">
        <v>0.99</v>
      </c>
      <c r="E2" s="11">
        <f>_xlfn.NORM.INV(D2,0,1)</f>
        <v>2.3263478740408408</v>
      </c>
    </row>
    <row r="3" spans="1:19" x14ac:dyDescent="0.25">
      <c r="B3" t="s">
        <v>12</v>
      </c>
      <c r="D3">
        <v>10</v>
      </c>
    </row>
    <row r="4" spans="1:19" x14ac:dyDescent="0.25">
      <c r="B4" t="s">
        <v>11</v>
      </c>
      <c r="D4">
        <v>0.09</v>
      </c>
      <c r="G4" t="s">
        <v>3</v>
      </c>
      <c r="H4" t="s">
        <v>15</v>
      </c>
      <c r="I4" t="s">
        <v>14</v>
      </c>
      <c r="J4" t="s">
        <v>13</v>
      </c>
      <c r="K4" t="s">
        <v>13</v>
      </c>
      <c r="L4" t="s">
        <v>19</v>
      </c>
    </row>
    <row r="5" spans="1:19" x14ac:dyDescent="0.25">
      <c r="D5" t="s">
        <v>0</v>
      </c>
      <c r="E5" t="s">
        <v>1</v>
      </c>
      <c r="F5" t="s">
        <v>2</v>
      </c>
      <c r="G5" t="s">
        <v>2</v>
      </c>
      <c r="H5" t="s">
        <v>16</v>
      </c>
      <c r="I5" t="s">
        <v>2</v>
      </c>
      <c r="J5" t="s">
        <v>2</v>
      </c>
      <c r="K5" t="s">
        <v>17</v>
      </c>
      <c r="L5" t="s">
        <v>20</v>
      </c>
      <c r="R5" t="s">
        <v>5</v>
      </c>
    </row>
    <row r="6" spans="1:19" ht="15.75" thickBot="1" x14ac:dyDescent="0.3">
      <c r="B6" s="3" t="s">
        <v>10</v>
      </c>
      <c r="C6" s="3">
        <f>+C8*D6</f>
        <v>100.00000000000004</v>
      </c>
      <c r="D6" s="4">
        <f>66.6666666666667%</f>
        <v>0.66666666666666696</v>
      </c>
      <c r="E6" s="25">
        <v>1.9199999999999998E-2</v>
      </c>
      <c r="F6" s="21">
        <f>+E6*C6*_xlfn.NORM.INV($D$2,0,1)*SQRT($D$3)</f>
        <v>14.124591190770348</v>
      </c>
      <c r="G6" s="21">
        <f>+F8-F7</f>
        <v>9.8576781085578453</v>
      </c>
      <c r="H6" s="19">
        <f t="array" ref="H6:H7">MMULT(R7:S8,D6:D7)</f>
        <v>2.5509120000000011E-4</v>
      </c>
      <c r="I6" s="15">
        <f>+H6*$C$8/$E$8*E2*10^0.5/100</f>
        <v>0.19638901849802601</v>
      </c>
      <c r="J6" s="15">
        <f>+I6*D6*100</f>
        <v>13.092601233201739</v>
      </c>
      <c r="K6" s="4">
        <f>+J6/J8</f>
        <v>0.82778171509567688</v>
      </c>
      <c r="L6" s="15">
        <f>+Tid^0.5*E6*C6*EXP(-(StdAfv^2/2))/(((Pi*2)^0.5)*(1-KonfidensProcent))</f>
        <v>14.194140563822973</v>
      </c>
      <c r="O6" s="1"/>
    </row>
    <row r="7" spans="1:19" x14ac:dyDescent="0.25">
      <c r="B7" s="5" t="s">
        <v>35</v>
      </c>
      <c r="C7" s="5">
        <f>+C8*D7</f>
        <v>50</v>
      </c>
      <c r="D7" s="6">
        <v>0.33333333333333331</v>
      </c>
      <c r="E7" s="26">
        <v>1.6199999999999999E-2</v>
      </c>
      <c r="F7" s="22">
        <f>+E7*C7*_xlfn.NORM.INV($D$2,0,1)*SQRT($D$3)</f>
        <v>5.9588119086062381</v>
      </c>
      <c r="G7" s="22">
        <f>+F8-F6</f>
        <v>1.6918988263937358</v>
      </c>
      <c r="H7" s="20">
        <v>1.0614239999999999E-4</v>
      </c>
      <c r="I7" s="14">
        <f>+H7*$C$8/$E$8*E2*10^0.5/100</f>
        <v>8.1716663518870372E-2</v>
      </c>
      <c r="J7" s="14">
        <f>+I7*D7*100</f>
        <v>2.7238887839623458</v>
      </c>
      <c r="K7" s="6">
        <f>+J7/J8</f>
        <v>0.17221828490432306</v>
      </c>
      <c r="L7" s="14">
        <f>+Tid^0.5*E7*C7*EXP(-(StdAfv^2/2))/(((Pi*2)^0.5)*(1-KonfidensProcent))</f>
        <v>5.9881530503628149</v>
      </c>
      <c r="O7" s="1"/>
      <c r="R7" s="51">
        <f>+E6*E6</f>
        <v>3.6863999999999994E-4</v>
      </c>
      <c r="S7" s="52">
        <f>+E6*E7*D4</f>
        <v>2.7993599999999996E-5</v>
      </c>
    </row>
    <row r="8" spans="1:19" ht="15.75" thickBot="1" x14ac:dyDescent="0.3">
      <c r="B8" s="7" t="s">
        <v>4</v>
      </c>
      <c r="C8" s="7">
        <v>150</v>
      </c>
      <c r="D8" s="8">
        <f>SUM(D6:D7)</f>
        <v>1.0000000000000002</v>
      </c>
      <c r="E8" s="18">
        <f>+(D6^2*E6^2+D7^2*E7^2+2*D6*D7*E6*E7*D4)^0.5</f>
        <v>1.4333234108183684E-2</v>
      </c>
      <c r="F8" s="23">
        <f>(F6^2+F7^2+2*F6*F7*D4)^0.5</f>
        <v>15.816490017164083</v>
      </c>
      <c r="G8" s="23"/>
      <c r="H8" s="7"/>
      <c r="I8" s="9"/>
      <c r="J8" s="15">
        <f>SUM(J6:J7)</f>
        <v>15.816490017164085</v>
      </c>
      <c r="K8" s="3"/>
      <c r="L8" s="17">
        <f>+Tid^0.5*PortVol*Markedsværdi*EXP(-(StdAfv^2/2))/(((Pi*2)^0.5)*(1-KonfidensProcent))</f>
        <v>15.894370286386014</v>
      </c>
      <c r="N8" s="2"/>
      <c r="R8" s="53">
        <f>+S7</f>
        <v>2.7993599999999996E-5</v>
      </c>
      <c r="S8" s="54">
        <f>+E7*E7</f>
        <v>2.6243999999999996E-4</v>
      </c>
    </row>
    <row r="9" spans="1:19" x14ac:dyDescent="0.25">
      <c r="D9" s="7" t="s">
        <v>21</v>
      </c>
      <c r="E9" s="7"/>
      <c r="F9" s="23">
        <f>+F6+F7-F8</f>
        <v>4.2669130822125023</v>
      </c>
      <c r="G9" s="24"/>
      <c r="J9" s="7" t="s">
        <v>21</v>
      </c>
      <c r="K9" s="7"/>
      <c r="L9" s="16">
        <f>+L6+L7-L8</f>
        <v>4.2879233277997741</v>
      </c>
    </row>
    <row r="10" spans="1:19" x14ac:dyDescent="0.25">
      <c r="H10" s="10"/>
    </row>
    <row r="11" spans="1:19" x14ac:dyDescent="0.25">
      <c r="H11" s="10"/>
    </row>
    <row r="12" spans="1:19" x14ac:dyDescent="0.25">
      <c r="A12" s="3" t="s">
        <v>9</v>
      </c>
      <c r="B12" s="3"/>
      <c r="C12" s="3"/>
      <c r="D12" s="3">
        <f>+C8</f>
        <v>150</v>
      </c>
      <c r="H12" s="10"/>
    </row>
    <row r="13" spans="1:19" x14ac:dyDescent="0.25">
      <c r="A13" t="s">
        <v>8</v>
      </c>
      <c r="D13">
        <v>10</v>
      </c>
      <c r="F13" s="17"/>
    </row>
    <row r="14" spans="1:19" x14ac:dyDescent="0.25">
      <c r="A14" t="s">
        <v>7</v>
      </c>
      <c r="C14" s="2"/>
      <c r="D14" s="2">
        <v>0.97499999999999998</v>
      </c>
      <c r="F14" s="17"/>
    </row>
    <row r="15" spans="1:19" x14ac:dyDescent="0.25">
      <c r="A15" t="s">
        <v>6</v>
      </c>
      <c r="D15" s="13">
        <f>_xlfn.NORM.INV(D14,0,1)</f>
        <v>1.9599639845400536</v>
      </c>
      <c r="H15" s="27"/>
    </row>
    <row r="16" spans="1:19" x14ac:dyDescent="0.25">
      <c r="A16" t="s">
        <v>2</v>
      </c>
      <c r="D16" s="13">
        <f>+F8</f>
        <v>15.816490017164083</v>
      </c>
    </row>
    <row r="17" spans="1:9" x14ac:dyDescent="0.25">
      <c r="A17" s="5" t="s">
        <v>18</v>
      </c>
      <c r="B17" s="5"/>
      <c r="C17" s="5"/>
      <c r="D17" s="14">
        <f>PI()</f>
        <v>3.1415926535897931</v>
      </c>
    </row>
    <row r="18" spans="1:9" x14ac:dyDescent="0.25">
      <c r="A18" s="7" t="s">
        <v>49</v>
      </c>
      <c r="B18" s="7"/>
      <c r="C18" s="7"/>
      <c r="D18" s="16">
        <f>+Tid^0.5*PortVol*Markedsværdi*EXP(-(StdAfv^2/2))/(((Pi*2)^0.5)*(1-KonfidensProcent))</f>
        <v>15.894370286386014</v>
      </c>
    </row>
    <row r="21" spans="1:9" x14ac:dyDescent="0.25">
      <c r="C21" s="40"/>
    </row>
    <row r="22" spans="1:9" x14ac:dyDescent="0.25">
      <c r="A22" s="3" t="s">
        <v>36</v>
      </c>
      <c r="B22" s="3"/>
      <c r="C22" s="3">
        <f>+PortVol*C8*SQRT(D3)*E2</f>
        <v>15.816490017164085</v>
      </c>
    </row>
    <row r="23" spans="1:9" x14ac:dyDescent="0.25">
      <c r="A23" s="5" t="s">
        <v>37</v>
      </c>
      <c r="B23" s="5"/>
      <c r="C23" s="5" cm="1">
        <f t="array" ref="C23">SQRT(MMULT(MMULT(TRANSPOSE(C6:C7),R7:S8),C6:C7))*E2*SQRT(D3)</f>
        <v>15.816490017164083</v>
      </c>
      <c r="F23" s="12"/>
      <c r="I23" s="55"/>
    </row>
    <row r="24" spans="1:9" x14ac:dyDescent="0.25">
      <c r="I24" s="55"/>
    </row>
    <row r="25" spans="1:9" x14ac:dyDescent="0.25">
      <c r="F25" s="12"/>
    </row>
  </sheetData>
  <mergeCells count="1">
    <mergeCell ref="I23:I2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07B2-2C4E-4978-9C0B-085BF82C288A}">
  <dimension ref="C1:L21"/>
  <sheetViews>
    <sheetView showGridLines="0" workbookViewId="0">
      <selection activeCell="F8" sqref="F8"/>
    </sheetView>
  </sheetViews>
  <sheetFormatPr defaultRowHeight="15" x14ac:dyDescent="0.25"/>
  <cols>
    <col min="3" max="3" width="19" bestFit="1" customWidth="1"/>
    <col min="5" max="5" width="10" bestFit="1" customWidth="1"/>
    <col min="7" max="7" width="3.28515625" customWidth="1"/>
    <col min="8" max="8" width="4.85546875" customWidth="1"/>
  </cols>
  <sheetData>
    <row r="1" spans="3:12" ht="16.5" x14ac:dyDescent="0.35">
      <c r="C1" s="44"/>
      <c r="D1" s="44"/>
      <c r="E1" s="44" t="s">
        <v>44</v>
      </c>
      <c r="F1" s="44" t="s">
        <v>45</v>
      </c>
      <c r="G1" s="42"/>
      <c r="H1" s="42"/>
      <c r="I1" s="42"/>
      <c r="J1" s="42"/>
      <c r="K1" s="42"/>
      <c r="L1" s="42"/>
    </row>
    <row r="2" spans="3:12" ht="16.5" x14ac:dyDescent="0.35">
      <c r="C2" s="48"/>
      <c r="D2" s="48" t="s">
        <v>42</v>
      </c>
      <c r="E2" s="48" t="s">
        <v>43</v>
      </c>
      <c r="F2" s="48" t="s">
        <v>46</v>
      </c>
      <c r="G2" s="42"/>
      <c r="H2" s="42"/>
      <c r="I2" s="42" t="s">
        <v>47</v>
      </c>
      <c r="J2" s="42"/>
      <c r="K2" s="42"/>
      <c r="L2" s="42"/>
    </row>
    <row r="3" spans="3:12" ht="16.5" x14ac:dyDescent="0.35">
      <c r="C3" s="44" t="s">
        <v>38</v>
      </c>
      <c r="D3" s="44">
        <v>100</v>
      </c>
      <c r="E3" s="45">
        <v>0.156</v>
      </c>
      <c r="F3" s="46">
        <f>+E3*SQRT(10/250)*NORMSINV(0.99)*D3</f>
        <v>7.2582053670074238</v>
      </c>
      <c r="G3" s="42"/>
      <c r="H3" s="42"/>
      <c r="I3" s="44">
        <v>1</v>
      </c>
      <c r="J3" s="44">
        <v>0.7</v>
      </c>
      <c r="K3" s="44">
        <v>0.4</v>
      </c>
      <c r="L3" s="44">
        <v>-0.1</v>
      </c>
    </row>
    <row r="4" spans="3:12" ht="16.5" x14ac:dyDescent="0.35">
      <c r="C4" s="42" t="s">
        <v>39</v>
      </c>
      <c r="D4" s="42">
        <v>100</v>
      </c>
      <c r="E4" s="47">
        <v>0.20399999999999999</v>
      </c>
      <c r="F4" s="43">
        <f t="shared" ref="F4:F6" si="0">+E4*SQRT(10/250)*NORMSINV(0.99)*D4</f>
        <v>9.4914993260866307</v>
      </c>
      <c r="G4" s="42"/>
      <c r="H4" s="42"/>
      <c r="I4" s="42">
        <f>+J3</f>
        <v>0.7</v>
      </c>
      <c r="J4" s="42">
        <v>1</v>
      </c>
      <c r="K4" s="42">
        <v>0.4</v>
      </c>
      <c r="L4" s="42">
        <v>-0.1</v>
      </c>
    </row>
    <row r="5" spans="3:12" ht="16.5" x14ac:dyDescent="0.35">
      <c r="C5" s="42" t="s">
        <v>40</v>
      </c>
      <c r="D5" s="42">
        <v>100</v>
      </c>
      <c r="E5" s="47">
        <v>0.09</v>
      </c>
      <c r="F5" s="43">
        <f t="shared" si="0"/>
        <v>4.1874261732735132</v>
      </c>
      <c r="G5" s="42"/>
      <c r="H5" s="42"/>
      <c r="I5" s="42">
        <f>+K3</f>
        <v>0.4</v>
      </c>
      <c r="J5" s="42">
        <f>+K4</f>
        <v>0.4</v>
      </c>
      <c r="K5" s="42">
        <v>1</v>
      </c>
      <c r="L5" s="42">
        <v>-0.2</v>
      </c>
    </row>
    <row r="6" spans="3:12" ht="16.5" x14ac:dyDescent="0.35">
      <c r="C6" s="48" t="s">
        <v>41</v>
      </c>
      <c r="D6" s="48">
        <v>100</v>
      </c>
      <c r="E6" s="49">
        <v>3.2000000000000001E-2</v>
      </c>
      <c r="F6" s="50">
        <f t="shared" si="0"/>
        <v>1.4888626393861382</v>
      </c>
      <c r="G6" s="42"/>
      <c r="H6" s="42"/>
      <c r="I6" s="48">
        <f>+L3</f>
        <v>-0.1</v>
      </c>
      <c r="J6" s="48">
        <f>+L4</f>
        <v>-0.1</v>
      </c>
      <c r="K6" s="48">
        <f>+L5</f>
        <v>-0.2</v>
      </c>
      <c r="L6" s="48">
        <v>1</v>
      </c>
    </row>
    <row r="7" spans="3:12" ht="16.5" x14ac:dyDescent="0.35">
      <c r="C7" s="44" t="s">
        <v>21</v>
      </c>
      <c r="D7" s="44"/>
      <c r="E7" s="44"/>
      <c r="F7" s="46">
        <f>F8-SUM(F3:F6)</f>
        <v>-4.8875150936626177</v>
      </c>
      <c r="G7" s="42"/>
      <c r="H7" s="42"/>
      <c r="I7" s="42"/>
      <c r="J7" s="42"/>
      <c r="K7" s="42"/>
      <c r="L7" s="42"/>
    </row>
    <row r="8" spans="3:12" ht="16.5" x14ac:dyDescent="0.35">
      <c r="C8" s="48" t="s">
        <v>48</v>
      </c>
      <c r="D8" s="48"/>
      <c r="E8" s="48"/>
      <c r="F8" s="50" cm="1">
        <f t="array" ref="F8">SQRT(MMULT(MMULT(TRANSPOSE(F3:F6),I3:L6),F3:F6))</f>
        <v>17.538478412091088</v>
      </c>
      <c r="G8" s="42"/>
      <c r="H8" s="42"/>
      <c r="I8" s="42"/>
      <c r="J8" s="42"/>
      <c r="K8" s="42"/>
      <c r="L8" s="42"/>
    </row>
    <row r="21" spans="10:10" x14ac:dyDescent="0.25">
      <c r="J21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0FD2-7DEB-47FF-B015-8905E80CA9FA}">
  <dimension ref="B11:N38"/>
  <sheetViews>
    <sheetView showGridLines="0" topLeftCell="A9" workbookViewId="0">
      <selection activeCell="L16" sqref="L16:L17"/>
    </sheetView>
  </sheetViews>
  <sheetFormatPr defaultRowHeight="15" x14ac:dyDescent="0.25"/>
  <sheetData>
    <row r="11" spans="2:14" ht="16.5" x14ac:dyDescent="0.3">
      <c r="B11" s="28" t="s">
        <v>8</v>
      </c>
      <c r="C11" s="29" t="s">
        <v>22</v>
      </c>
      <c r="D11" s="3"/>
      <c r="E11" s="3"/>
      <c r="F11" s="29" t="s">
        <v>23</v>
      </c>
      <c r="G11" s="29" t="s">
        <v>24</v>
      </c>
      <c r="H11" s="29" t="s">
        <v>24</v>
      </c>
      <c r="I11" s="29" t="s">
        <v>24</v>
      </c>
      <c r="J11" s="30"/>
      <c r="K11" s="30"/>
      <c r="L11" s="30"/>
      <c r="M11" s="30"/>
      <c r="N11" s="30"/>
    </row>
    <row r="12" spans="2:14" ht="16.5" x14ac:dyDescent="0.3">
      <c r="B12" s="31" t="s">
        <v>25</v>
      </c>
      <c r="C12" s="32" t="s">
        <v>26</v>
      </c>
      <c r="D12" s="32" t="s">
        <v>27</v>
      </c>
      <c r="E12" s="32" t="s">
        <v>28</v>
      </c>
      <c r="F12" s="32" t="s">
        <v>29</v>
      </c>
      <c r="G12" s="32" t="s">
        <v>30</v>
      </c>
      <c r="H12" s="32" t="s">
        <v>31</v>
      </c>
      <c r="I12" s="32" t="s">
        <v>32</v>
      </c>
      <c r="J12" s="30"/>
      <c r="K12" s="30"/>
      <c r="L12" s="30"/>
      <c r="M12" s="30"/>
      <c r="N12" s="30"/>
    </row>
    <row r="13" spans="2:14" ht="16.5" x14ac:dyDescent="0.3">
      <c r="B13" s="29">
        <v>1</v>
      </c>
      <c r="C13" s="33">
        <v>0.01</v>
      </c>
      <c r="D13" s="33">
        <f>+C13+1%</f>
        <v>0.02</v>
      </c>
      <c r="E13" s="33">
        <f>+C13</f>
        <v>0.01</v>
      </c>
      <c r="F13" s="29">
        <v>2</v>
      </c>
      <c r="G13" s="34">
        <f>+F13*(1+C13)^-B13</f>
        <v>1.9801980198019802</v>
      </c>
      <c r="H13" s="34">
        <f>+F13*(1+D13)^-B13</f>
        <v>1.9607843137254901</v>
      </c>
      <c r="I13" s="34">
        <f>+F13*(1+E13)^-B13</f>
        <v>1.9801980198019802</v>
      </c>
      <c r="J13" s="30"/>
      <c r="K13" s="30"/>
      <c r="L13" s="30"/>
      <c r="M13" s="30"/>
      <c r="N13" s="30"/>
    </row>
    <row r="14" spans="2:14" ht="16.5" x14ac:dyDescent="0.3">
      <c r="B14" s="30">
        <v>2</v>
      </c>
      <c r="C14" s="35">
        <v>0.02</v>
      </c>
      <c r="D14" s="35">
        <f>+C14+0.5%</f>
        <v>2.5000000000000001E-2</v>
      </c>
      <c r="E14" s="35">
        <f>+D14</f>
        <v>2.5000000000000001E-2</v>
      </c>
      <c r="F14" s="30">
        <v>2</v>
      </c>
      <c r="G14" s="36">
        <f>+F14*(1+C14)^-B14</f>
        <v>1.9223375624759709</v>
      </c>
      <c r="H14" s="36">
        <f>+F14*(1+D14)^-B14</f>
        <v>1.9036287923854849</v>
      </c>
      <c r="I14" s="36">
        <f>+F14*(1+E14)^-B14</f>
        <v>1.9036287923854849</v>
      </c>
      <c r="J14" s="30"/>
      <c r="K14" s="30"/>
      <c r="L14" s="30"/>
      <c r="M14" s="30"/>
      <c r="N14" s="30"/>
    </row>
    <row r="15" spans="2:14" ht="16.5" x14ac:dyDescent="0.3">
      <c r="B15" s="32">
        <v>3</v>
      </c>
      <c r="C15" s="37">
        <v>0.03</v>
      </c>
      <c r="D15" s="37">
        <f>+C15</f>
        <v>0.03</v>
      </c>
      <c r="E15" s="37">
        <f>+D15+1%</f>
        <v>0.04</v>
      </c>
      <c r="F15" s="32">
        <v>102</v>
      </c>
      <c r="G15" s="38">
        <f>+F15*(1+C15)^-B15</f>
        <v>93.34444925402228</v>
      </c>
      <c r="H15" s="38">
        <f>+F15*(1+D15)^-B15</f>
        <v>93.34444925402228</v>
      </c>
      <c r="I15" s="38">
        <f>+F15*(1+E15)^-B15</f>
        <v>90.677628584433322</v>
      </c>
      <c r="J15" s="30"/>
      <c r="K15" s="30"/>
      <c r="L15" s="30"/>
      <c r="M15" s="30"/>
      <c r="N15" s="30"/>
    </row>
    <row r="16" spans="2:14" ht="16.5" x14ac:dyDescent="0.3">
      <c r="B16" s="30"/>
      <c r="C16" s="30"/>
      <c r="D16" s="30"/>
      <c r="E16" s="30"/>
      <c r="F16" s="30"/>
      <c r="G16" s="36"/>
      <c r="H16" s="36"/>
      <c r="I16" s="36"/>
      <c r="J16" s="30"/>
      <c r="K16" s="30"/>
      <c r="L16" s="30"/>
      <c r="M16" s="30"/>
      <c r="N16" s="30"/>
    </row>
    <row r="17" spans="2:14" ht="16.5" x14ac:dyDescent="0.3">
      <c r="B17" s="30"/>
      <c r="C17" s="30"/>
      <c r="D17" s="30"/>
      <c r="E17" s="30" t="s">
        <v>33</v>
      </c>
      <c r="F17" s="30"/>
      <c r="G17" s="39">
        <f>SUM(G13:G15)</f>
        <v>97.246984836300228</v>
      </c>
      <c r="H17" s="39">
        <f>SUM(H13:H15)</f>
        <v>97.208862360133253</v>
      </c>
      <c r="I17" s="39">
        <f>SUM(I13:I15)</f>
        <v>94.561455396620786</v>
      </c>
      <c r="J17" s="30"/>
      <c r="K17" s="30"/>
      <c r="L17" s="30"/>
      <c r="M17" s="30"/>
      <c r="N17" s="30"/>
    </row>
    <row r="18" spans="2:14" ht="16.5" x14ac:dyDescent="0.3">
      <c r="B18" s="30"/>
      <c r="C18" s="30"/>
      <c r="D18" s="30"/>
      <c r="E18" s="30"/>
      <c r="F18" s="30" t="s">
        <v>34</v>
      </c>
      <c r="G18" s="30"/>
      <c r="H18" s="39">
        <f>+H17-G17</f>
        <v>-3.8122476166975616E-2</v>
      </c>
      <c r="I18" s="39">
        <f>+I17-G17</f>
        <v>-2.685529439679442</v>
      </c>
      <c r="J18" s="30"/>
      <c r="K18" s="30"/>
      <c r="L18" s="30"/>
      <c r="M18" s="30"/>
      <c r="N18" s="30"/>
    </row>
    <row r="19" spans="2:14" ht="16.5" x14ac:dyDescent="0.3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2:14" ht="16.5" x14ac:dyDescent="0.3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2:14" ht="16.5" x14ac:dyDescent="0.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2:14" ht="16.5" x14ac:dyDescent="0.3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2:14" ht="16.5" x14ac:dyDescent="0.3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2:14" ht="16.5" x14ac:dyDescent="0.3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2:14" ht="16.5" x14ac:dyDescent="0.3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 ht="16.5" x14ac:dyDescent="0.3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2:14" ht="16.5" x14ac:dyDescent="0.3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2:14" ht="16.5" x14ac:dyDescent="0.3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2:14" ht="16.5" x14ac:dyDescent="0.3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2:14" ht="16.5" x14ac:dyDescent="0.3">
      <c r="B30" s="30"/>
      <c r="C30" s="30"/>
      <c r="D30" s="30"/>
      <c r="E30" s="30"/>
      <c r="F30" s="30"/>
      <c r="G30" s="30">
        <f>2.6*10^0.5*3</f>
        <v>24.665765749313366</v>
      </c>
      <c r="H30" s="30"/>
      <c r="I30" s="30"/>
      <c r="J30" s="30"/>
      <c r="K30" s="30"/>
      <c r="L30" s="30"/>
      <c r="M30" s="30"/>
      <c r="N30" s="30"/>
    </row>
    <row r="31" spans="2:14" ht="16.5" x14ac:dyDescent="0.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2:14" ht="16.5" x14ac:dyDescent="0.3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6.5" x14ac:dyDescent="0.3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2:14" ht="16.5" x14ac:dyDescent="0.3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2:14" ht="16.5" x14ac:dyDescent="0.3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2:14" ht="16.5" x14ac:dyDescent="0.3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2:14" ht="16.5" x14ac:dyDescent="0.3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2:14" ht="16.5" x14ac:dyDescent="0.3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8</vt:i4>
      </vt:variant>
    </vt:vector>
  </HeadingPairs>
  <TitlesOfParts>
    <vt:vector size="11" baseType="lpstr">
      <vt:lpstr>Beregninger af VaR-tal</vt:lpstr>
      <vt:lpstr>Tabel 5.1</vt:lpstr>
      <vt:lpstr>Nøglerentevarighed</vt:lpstr>
      <vt:lpstr>ExpShortfall</vt:lpstr>
      <vt:lpstr>KonfidensProcent</vt:lpstr>
      <vt:lpstr>Markedsværdi</vt:lpstr>
      <vt:lpstr>Pi</vt:lpstr>
      <vt:lpstr>PortVol</vt:lpstr>
      <vt:lpstr>StdAfv</vt:lpstr>
      <vt:lpstr>Tid</vt:lpstr>
      <vt:lpstr>ValueAtRisk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</dc:creator>
  <cp:lastModifiedBy>Rasmus Peter Ambrosius Løvgreen</cp:lastModifiedBy>
  <cp:lastPrinted>2024-02-12T18:07:23Z</cp:lastPrinted>
  <dcterms:created xsi:type="dcterms:W3CDTF">2012-05-04T08:35:41Z</dcterms:created>
  <dcterms:modified xsi:type="dcterms:W3CDTF">2024-07-09T07:30:36Z</dcterms:modified>
</cp:coreProperties>
</file>