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l\Desktop\Ekstramateriale til Finansiel Risikostyring\"/>
    </mc:Choice>
  </mc:AlternateContent>
  <xr:revisionPtr revIDLastSave="0" documentId="8_{22325D09-0E4D-4B7A-BE6D-BC92B071A9D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 2.1" sheetId="8" r:id="rId1"/>
    <sheet name="Tabel 2.4" sheetId="2" r:id="rId2"/>
    <sheet name="Tabel 2.3" sheetId="1" r:id="rId3"/>
    <sheet name="Beregninger til figur 2.6" sheetId="3" r:id="rId4"/>
    <sheet name="Figur 2.9" sheetId="5" r:id="rId5"/>
  </sheets>
  <externalReferences>
    <externalReference r:id="rId6"/>
  </externalReferences>
  <definedNames>
    <definedName name="solver_adj" localSheetId="3" hidden="1">'Beregninger til figur 2.6'!$C$2</definedName>
    <definedName name="solver_adj" localSheetId="0" hidden="1">'Tabel 2.1'!$G$2</definedName>
    <definedName name="solver_adj" localSheetId="2" hidden="1">'Tabel 2.3'!$G$2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2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3" hidden="1">2147483647</definedName>
    <definedName name="solver_itr" localSheetId="0" hidden="1">2147483647</definedName>
    <definedName name="solver_itr" localSheetId="2" hidden="1">2147483647</definedName>
    <definedName name="solver_mip" localSheetId="3" hidden="1">2147483647</definedName>
    <definedName name="solver_mip" localSheetId="0" hidden="1">2147483647</definedName>
    <definedName name="solver_mip" localSheetId="2" hidden="1">2147483647</definedName>
    <definedName name="solver_mni" localSheetId="3" hidden="1">30</definedName>
    <definedName name="solver_mni" localSheetId="0" hidden="1">30</definedName>
    <definedName name="solver_mni" localSheetId="2" hidden="1">30</definedName>
    <definedName name="solver_mrt" localSheetId="3" hidden="1">0.075</definedName>
    <definedName name="solver_mrt" localSheetId="0" hidden="1">0.075</definedName>
    <definedName name="solver_mrt" localSheetId="2" hidden="1">0.075</definedName>
    <definedName name="solver_msl" localSheetId="3" hidden="1">2</definedName>
    <definedName name="solver_msl" localSheetId="0" hidden="1">2</definedName>
    <definedName name="solver_msl" localSheetId="2" hidden="1">2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od" localSheetId="3" hidden="1">2147483647</definedName>
    <definedName name="solver_nod" localSheetId="0" hidden="1">2147483647</definedName>
    <definedName name="solver_nod" localSheetId="2" hidden="1">2147483647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3" hidden="1">'Beregninger til figur 2.6'!$F$13</definedName>
    <definedName name="solver_opt" localSheetId="0" hidden="1">'Tabel 2.1'!$E$29</definedName>
    <definedName name="solver_opt" localSheetId="2" hidden="1">'Tabel 2.3'!$E$29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rbv" localSheetId="3" hidden="1">1</definedName>
    <definedName name="solver_rbv" localSheetId="0" hidden="1">1</definedName>
    <definedName name="solver_rbv" localSheetId="2" hidden="1">1</definedName>
    <definedName name="solver_rlx" localSheetId="3" hidden="1">2</definedName>
    <definedName name="solver_rlx" localSheetId="0" hidden="1">2</definedName>
    <definedName name="solver_rlx" localSheetId="2" hidden="1">2</definedName>
    <definedName name="solver_rsd" localSheetId="3" hidden="1">0</definedName>
    <definedName name="solver_rsd" localSheetId="0" hidden="1">0</definedName>
    <definedName name="solver_rsd" localSheetId="2" hidden="1">0</definedName>
    <definedName name="solver_scl" localSheetId="3" hidden="1">1</definedName>
    <definedName name="solver_scl" localSheetId="0" hidden="1">1</definedName>
    <definedName name="solver_scl" localSheetId="2" hidden="1">1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sz" localSheetId="3" hidden="1">100</definedName>
    <definedName name="solver_ssz" localSheetId="0" hidden="1">100</definedName>
    <definedName name="solver_ssz" localSheetId="2" hidden="1">100</definedName>
    <definedName name="solver_tim" localSheetId="3" hidden="1">2147483647</definedName>
    <definedName name="solver_tim" localSheetId="0" hidden="1">2147483647</definedName>
    <definedName name="solver_tim" localSheetId="2" hidden="1">2147483647</definedName>
    <definedName name="solver_tol" localSheetId="3" hidden="1">0.01</definedName>
    <definedName name="solver_tol" localSheetId="0" hidden="1">0.01</definedName>
    <definedName name="solver_tol" localSheetId="2" hidden="1">0.01</definedName>
    <definedName name="solver_typ" localSheetId="3" hidden="1">3</definedName>
    <definedName name="solver_typ" localSheetId="0" hidden="1">3</definedName>
    <definedName name="solver_typ" localSheetId="2" hidden="1">3</definedName>
    <definedName name="solver_val" localSheetId="3" hidden="1">97.25</definedName>
    <definedName name="solver_val" localSheetId="0" hidden="1">119.050003</definedName>
    <definedName name="solver_val" localSheetId="2" hidden="1">119.050003</definedName>
    <definedName name="solver_ver" localSheetId="3" hidden="1">3</definedName>
    <definedName name="solver_ver" localSheetId="0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16" i="8"/>
  <c r="B16" i="8"/>
  <c r="B17" i="8" s="1"/>
  <c r="D15" i="8"/>
  <c r="E15" i="8" s="1"/>
  <c r="C15" i="8"/>
  <c r="C16" i="8" s="1"/>
  <c r="B15" i="8"/>
  <c r="C14" i="8"/>
  <c r="E14" i="8" s="1"/>
  <c r="G9" i="8"/>
  <c r="G6" i="8"/>
  <c r="E28" i="8" s="1"/>
  <c r="G11" i="8" s="1"/>
  <c r="E28" i="1"/>
  <c r="E23" i="1"/>
  <c r="H23" i="1" s="1"/>
  <c r="E22" i="1"/>
  <c r="H22" i="1" s="1"/>
  <c r="E21" i="1"/>
  <c r="H21" i="1" s="1"/>
  <c r="E20" i="1"/>
  <c r="H20" i="1" s="1"/>
  <c r="D20" i="1"/>
  <c r="D21" i="1" s="1"/>
  <c r="D22" i="1" s="1"/>
  <c r="D19" i="1"/>
  <c r="C20" i="1"/>
  <c r="C21" i="1" s="1"/>
  <c r="C22" i="1" s="1"/>
  <c r="C23" i="1" s="1"/>
  <c r="B20" i="1"/>
  <c r="B21" i="1" s="1"/>
  <c r="B22" i="1" s="1"/>
  <c r="B23" i="1" s="1"/>
  <c r="D15" i="1"/>
  <c r="D16" i="1" s="1"/>
  <c r="D17" i="1" s="1"/>
  <c r="D18" i="1" s="1"/>
  <c r="G9" i="1"/>
  <c r="C17" i="8" l="1"/>
  <c r="B18" i="8"/>
  <c r="D17" i="8"/>
  <c r="G10" i="8"/>
  <c r="E16" i="8"/>
  <c r="D18" i="8" l="1"/>
  <c r="E17" i="8"/>
  <c r="B19" i="8"/>
  <c r="C18" i="8"/>
  <c r="B20" i="8" l="1"/>
  <c r="B21" i="8" s="1"/>
  <c r="B22" i="8" s="1"/>
  <c r="B23" i="8" s="1"/>
  <c r="E18" i="8"/>
  <c r="D19" i="8"/>
  <c r="C19" i="8"/>
  <c r="G30" i="5"/>
  <c r="G15" i="5"/>
  <c r="D15" i="5"/>
  <c r="H15" i="5" s="1"/>
  <c r="G14" i="5"/>
  <c r="D14" i="5"/>
  <c r="H14" i="5" s="1"/>
  <c r="G13" i="5"/>
  <c r="E13" i="5"/>
  <c r="I13" i="5" s="1"/>
  <c r="D13" i="5"/>
  <c r="H13" i="5" s="1"/>
  <c r="G11" i="3"/>
  <c r="G10" i="3"/>
  <c r="G9" i="3"/>
  <c r="F11" i="3"/>
  <c r="F10" i="3"/>
  <c r="F9" i="3"/>
  <c r="C20" i="8" l="1"/>
  <c r="D20" i="8"/>
  <c r="E19" i="8"/>
  <c r="H17" i="5"/>
  <c r="H18" i="5" s="1"/>
  <c r="E14" i="5"/>
  <c r="I14" i="5" s="1"/>
  <c r="G17" i="5"/>
  <c r="E15" i="5"/>
  <c r="I15" i="5" s="1"/>
  <c r="I17" i="5" s="1"/>
  <c r="I18" i="5" s="1"/>
  <c r="G13" i="3"/>
  <c r="I11" i="3" s="1"/>
  <c r="K11" i="3" s="1"/>
  <c r="D21" i="8" l="1"/>
  <c r="E20" i="8"/>
  <c r="C21" i="8"/>
  <c r="I9" i="3"/>
  <c r="K9" i="3" s="1"/>
  <c r="I10" i="3"/>
  <c r="K10" i="3" s="1"/>
  <c r="F13" i="3"/>
  <c r="K11" i="2"/>
  <c r="I9" i="2"/>
  <c r="J9" i="2" s="1"/>
  <c r="I8" i="2"/>
  <c r="J8" i="2" s="1"/>
  <c r="I7" i="2"/>
  <c r="J7" i="2" s="1"/>
  <c r="F9" i="2"/>
  <c r="F8" i="2"/>
  <c r="F7" i="2"/>
  <c r="G11" i="2" s="1"/>
  <c r="D11" i="2"/>
  <c r="C22" i="8" l="1"/>
  <c r="D22" i="8"/>
  <c r="E22" i="8" s="1"/>
  <c r="E21" i="8"/>
  <c r="F11" i="2"/>
  <c r="H11" i="2"/>
  <c r="J11" i="2"/>
  <c r="I11" i="2"/>
  <c r="K13" i="3"/>
  <c r="H10" i="3"/>
  <c r="J10" i="3" s="1"/>
  <c r="H9" i="3"/>
  <c r="J9" i="3" s="1"/>
  <c r="H11" i="3"/>
  <c r="J11" i="3" s="1"/>
  <c r="C14" i="1"/>
  <c r="C23" i="8" l="1"/>
  <c r="J13" i="3"/>
  <c r="E23" i="8" l="1"/>
  <c r="H31" i="8"/>
  <c r="G6" i="1"/>
  <c r="E14" i="1"/>
  <c r="B15" i="1"/>
  <c r="F23" i="8" l="1"/>
  <c r="G23" i="8" s="1"/>
  <c r="E25" i="8"/>
  <c r="E27" i="8" s="1"/>
  <c r="G11" i="1"/>
  <c r="G10" i="1"/>
  <c r="B16" i="1"/>
  <c r="H14" i="1"/>
  <c r="C15" i="1"/>
  <c r="E29" i="8" l="1"/>
  <c r="F14" i="8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B17" i="1"/>
  <c r="E15" i="1"/>
  <c r="C16" i="1"/>
  <c r="F25" i="8" l="1"/>
  <c r="G14" i="8"/>
  <c r="G25" i="8" s="1"/>
  <c r="E31" i="8" s="1"/>
  <c r="E32" i="8" s="1"/>
  <c r="E33" i="8" s="1"/>
  <c r="H15" i="1"/>
  <c r="B18" i="1"/>
  <c r="C17" i="1"/>
  <c r="E16" i="1"/>
  <c r="H16" i="1" s="1"/>
  <c r="B19" i="1" l="1"/>
  <c r="C18" i="1"/>
  <c r="E17" i="1"/>
  <c r="H17" i="1" s="1"/>
  <c r="C19" i="1" l="1"/>
  <c r="E19" i="1" s="1"/>
  <c r="H19" i="1" s="1"/>
  <c r="E18" i="1"/>
  <c r="H18" i="1" s="1"/>
  <c r="H25" i="1" l="1"/>
  <c r="E25" i="1"/>
  <c r="E27" i="1" s="1"/>
  <c r="F14" i="1" l="1"/>
  <c r="F21" i="1"/>
  <c r="G21" i="1" s="1"/>
  <c r="F23" i="1"/>
  <c r="G23" i="1" s="1"/>
  <c r="F20" i="1"/>
  <c r="G20" i="1" s="1"/>
  <c r="F22" i="1"/>
  <c r="G22" i="1" s="1"/>
  <c r="E29" i="1"/>
  <c r="F19" i="1"/>
  <c r="G19" i="1" s="1"/>
  <c r="F15" i="1"/>
  <c r="F16" i="1"/>
  <c r="G16" i="1" s="1"/>
  <c r="F17" i="1"/>
  <c r="G17" i="1" s="1"/>
  <c r="F18" i="1"/>
  <c r="G18" i="1" s="1"/>
  <c r="G15" i="1" l="1"/>
  <c r="F25" i="1"/>
  <c r="G14" i="1"/>
  <c r="G25" i="1" l="1"/>
  <c r="E31" i="1" s="1"/>
  <c r="E32" i="1" s="1"/>
  <c r="E33" i="1" s="1"/>
</calcChain>
</file>

<file path=xl/sharedStrings.xml><?xml version="1.0" encoding="utf-8"?>
<sst xmlns="http://schemas.openxmlformats.org/spreadsheetml/2006/main" count="116" uniqueCount="66">
  <si>
    <t>Handelsdag</t>
  </si>
  <si>
    <t>Valørdag</t>
  </si>
  <si>
    <t>Dato</t>
  </si>
  <si>
    <t>Tid i år</t>
  </si>
  <si>
    <t>Cash flow</t>
  </si>
  <si>
    <t>Effektiv rente</t>
  </si>
  <si>
    <t>Vedhængende rente</t>
  </si>
  <si>
    <t>Nutidsværdi</t>
  </si>
  <si>
    <t>af cash flow</t>
  </si>
  <si>
    <t>Sidste kuponbetaling</t>
  </si>
  <si>
    <t>Vægt</t>
  </si>
  <si>
    <t>Vægt * tid</t>
  </si>
  <si>
    <t>Varighed</t>
  </si>
  <si>
    <t>Modificeret varighed</t>
  </si>
  <si>
    <t>Kronevarighed</t>
  </si>
  <si>
    <t>Sum:</t>
  </si>
  <si>
    <t>Antal vedhængende rentedage</t>
  </si>
  <si>
    <t>Antal vedh. Rentedage</t>
  </si>
  <si>
    <t>Sum af nutidsværdier ("dirty price")</t>
  </si>
  <si>
    <t>Kurs ("clean price")</t>
  </si>
  <si>
    <t>nutidsværdi</t>
  </si>
  <si>
    <t>Obligation 1</t>
  </si>
  <si>
    <t>Obligation 2</t>
  </si>
  <si>
    <t>Obligation 3</t>
  </si>
  <si>
    <t>Macauley</t>
  </si>
  <si>
    <t>Effektiv</t>
  </si>
  <si>
    <t>rente</t>
  </si>
  <si>
    <t>Modificeret</t>
  </si>
  <si>
    <t>Kurs +</t>
  </si>
  <si>
    <t>vedh. rente</t>
  </si>
  <si>
    <t>Nom</t>
  </si>
  <si>
    <t>Beløb</t>
  </si>
  <si>
    <t>Krone-</t>
  </si>
  <si>
    <t>varighed</t>
  </si>
  <si>
    <t>konveksitet</t>
  </si>
  <si>
    <t>Markeds-</t>
  </si>
  <si>
    <t>værdi</t>
  </si>
  <si>
    <t>Portefølje</t>
  </si>
  <si>
    <t>Nulkupon-</t>
  </si>
  <si>
    <t>Cash</t>
  </si>
  <si>
    <t>Flow</t>
  </si>
  <si>
    <t>Tid</t>
  </si>
  <si>
    <t>Nulkupon</t>
  </si>
  <si>
    <t>Vægt*tid</t>
  </si>
  <si>
    <t>Eff.rente</t>
  </si>
  <si>
    <t>Kurs</t>
  </si>
  <si>
    <t>Pris</t>
  </si>
  <si>
    <t>år</t>
  </si>
  <si>
    <t>kurve</t>
  </si>
  <si>
    <t>Shock 2</t>
  </si>
  <si>
    <t>i dag</t>
  </si>
  <si>
    <t>shock 1</t>
  </si>
  <si>
    <t>Nutidsværdi:</t>
  </si>
  <si>
    <t>Følsomhed:</t>
  </si>
  <si>
    <t>Effektiv rente = 2,972%</t>
  </si>
  <si>
    <t>(Macaulay)</t>
  </si>
  <si>
    <t>(Fisher-Weil)</t>
  </si>
  <si>
    <t>Chok 1</t>
  </si>
  <si>
    <t>Chok 2</t>
  </si>
  <si>
    <t>Fredag den 19. januar 2024</t>
  </si>
  <si>
    <t>Tirsdag den 23. januar 2024</t>
  </si>
  <si>
    <r>
      <t>(tid</t>
    </r>
    <r>
      <rPr>
        <vertAlign val="super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+tid)*</t>
    </r>
  </si>
  <si>
    <t>Valørdag: Tirsdag den 23. januar 2024</t>
  </si>
  <si>
    <t xml:space="preserve">Effektiv rente = </t>
  </si>
  <si>
    <t>Handelsdag: Fredag den 19. januar 2024</t>
  </si>
  <si>
    <t>Kronekonveksistet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</si>
</sst>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 * #,##0.00_ ;_ * \-#,##0.00_ ;_ * &quot;-&quot;??_ ;_ @_ "/>
    <numFmt numFmtId="165" formatCode="0.000%"/>
    <numFmt numFmtId="166" formatCode="0.000"/>
    <numFmt numFmtId="167" formatCode="_ * #,##0_ ;_ * \-#,##0_ ;_ * &quot;-&quot;??_ ;_ @_ "/>
    <numFmt numFmtId="168" formatCode="0.0000%"/>
    <numFmt numFmtId="169" formatCode="0.0"/>
    <numFmt numFmtId="170" formatCode="0.0%"/>
    <numFmt numFmtId="171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166" fontId="2" fillId="0" borderId="0" xfId="0" applyNumberFormat="1" applyFont="1"/>
    <xf numFmtId="166" fontId="0" fillId="0" borderId="0" xfId="0" applyNumberFormat="1"/>
    <xf numFmtId="14" fontId="0" fillId="0" borderId="0" xfId="0" applyNumberFormat="1"/>
    <xf numFmtId="9" fontId="0" fillId="0" borderId="0" xfId="0" applyNumberFormat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167" fontId="3" fillId="0" borderId="2" xfId="1" applyNumberFormat="1" applyFont="1" applyBorder="1"/>
    <xf numFmtId="2" fontId="3" fillId="0" borderId="2" xfId="0" applyNumberFormat="1" applyFont="1" applyBorder="1"/>
    <xf numFmtId="10" fontId="3" fillId="0" borderId="2" xfId="0" applyNumberFormat="1" applyFont="1" applyBorder="1"/>
    <xf numFmtId="167" fontId="3" fillId="0" borderId="0" xfId="1" applyNumberFormat="1" applyFont="1" applyBorder="1"/>
    <xf numFmtId="2" fontId="3" fillId="0" borderId="0" xfId="0" applyNumberFormat="1" applyFont="1"/>
    <xf numFmtId="10" fontId="3" fillId="0" borderId="0" xfId="0" applyNumberFormat="1" applyFont="1"/>
    <xf numFmtId="0" fontId="3" fillId="0" borderId="3" xfId="0" applyFont="1" applyBorder="1"/>
    <xf numFmtId="167" fontId="3" fillId="0" borderId="3" xfId="1" applyNumberFormat="1" applyFont="1" applyBorder="1"/>
    <xf numFmtId="2" fontId="3" fillId="0" borderId="3" xfId="0" applyNumberFormat="1" applyFont="1" applyBorder="1"/>
    <xf numFmtId="10" fontId="3" fillId="0" borderId="3" xfId="0" applyNumberFormat="1" applyFont="1" applyBorder="1"/>
    <xf numFmtId="0" fontId="3" fillId="0" borderId="1" xfId="0" applyFont="1" applyBorder="1"/>
    <xf numFmtId="167" fontId="3" fillId="0" borderId="1" xfId="0" applyNumberFormat="1" applyFont="1" applyBorder="1"/>
    <xf numFmtId="164" fontId="3" fillId="0" borderId="1" xfId="0" applyNumberFormat="1" applyFont="1" applyBorder="1"/>
    <xf numFmtId="10" fontId="3" fillId="0" borderId="1" xfId="2" applyNumberFormat="1" applyFont="1" applyBorder="1"/>
    <xf numFmtId="2" fontId="2" fillId="0" borderId="2" xfId="0" applyNumberFormat="1" applyFont="1" applyBorder="1"/>
    <xf numFmtId="2" fontId="2" fillId="0" borderId="0" xfId="0" applyNumberFormat="1" applyFont="1"/>
    <xf numFmtId="2" fontId="2" fillId="0" borderId="3" xfId="0" applyNumberFormat="1" applyFont="1" applyBorder="1"/>
    <xf numFmtId="2" fontId="2" fillId="0" borderId="1" xfId="0" applyNumberFormat="1" applyFont="1" applyBorder="1"/>
    <xf numFmtId="10" fontId="3" fillId="0" borderId="0" xfId="2" applyNumberFormat="1" applyFont="1" applyBorder="1"/>
    <xf numFmtId="10" fontId="3" fillId="0" borderId="3" xfId="2" applyNumberFormat="1" applyFont="1" applyBorder="1"/>
    <xf numFmtId="166" fontId="3" fillId="0" borderId="0" xfId="0" applyNumberFormat="1" applyFont="1"/>
    <xf numFmtId="2" fontId="3" fillId="0" borderId="1" xfId="0" applyNumberFormat="1" applyFont="1" applyBorder="1"/>
    <xf numFmtId="166" fontId="3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0" fontId="2" fillId="0" borderId="2" xfId="2" applyNumberFormat="1" applyFont="1" applyBorder="1"/>
    <xf numFmtId="170" fontId="2" fillId="0" borderId="0" xfId="2" applyNumberFormat="1" applyFont="1" applyBorder="1"/>
    <xf numFmtId="170" fontId="2" fillId="0" borderId="3" xfId="2" applyNumberFormat="1" applyFont="1" applyBorder="1"/>
    <xf numFmtId="165" fontId="0" fillId="0" borderId="0" xfId="0" applyNumberFormat="1"/>
    <xf numFmtId="0" fontId="3" fillId="0" borderId="5" xfId="0" applyFont="1" applyBorder="1"/>
    <xf numFmtId="166" fontId="3" fillId="0" borderId="6" xfId="0" applyNumberFormat="1" applyFont="1" applyBorder="1"/>
    <xf numFmtId="166" fontId="3" fillId="0" borderId="5" xfId="0" applyNumberFormat="1" applyFont="1" applyBorder="1"/>
    <xf numFmtId="10" fontId="3" fillId="0" borderId="6" xfId="2" applyNumberFormat="1" applyFont="1" applyBorder="1"/>
    <xf numFmtId="10" fontId="3" fillId="0" borderId="9" xfId="2" applyNumberFormat="1" applyFont="1" applyBorder="1"/>
    <xf numFmtId="10" fontId="3" fillId="0" borderId="5" xfId="2" applyNumberFormat="1" applyFont="1" applyBorder="1"/>
    <xf numFmtId="10" fontId="3" fillId="0" borderId="8" xfId="2" applyNumberFormat="1" applyFont="1" applyBorder="1"/>
    <xf numFmtId="166" fontId="3" fillId="0" borderId="9" xfId="0" applyNumberFormat="1" applyFont="1" applyBorder="1"/>
    <xf numFmtId="166" fontId="3" fillId="0" borderId="8" xfId="0" applyNumberFormat="1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right"/>
    </xf>
    <xf numFmtId="0" fontId="4" fillId="0" borderId="0" xfId="0" applyFont="1"/>
    <xf numFmtId="14" fontId="3" fillId="0" borderId="0" xfId="0" applyNumberFormat="1" applyFont="1"/>
    <xf numFmtId="167" fontId="3" fillId="0" borderId="0" xfId="0" applyNumberFormat="1" applyFont="1"/>
    <xf numFmtId="0" fontId="4" fillId="0" borderId="2" xfId="0" applyFont="1" applyBorder="1"/>
    <xf numFmtId="14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2" applyNumberFormat="1" applyFont="1" applyBorder="1"/>
    <xf numFmtId="165" fontId="3" fillId="0" borderId="0" xfId="2" applyNumberFormat="1" applyFont="1" applyBorder="1"/>
    <xf numFmtId="166" fontId="3" fillId="0" borderId="3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5" fontId="3" fillId="0" borderId="1" xfId="2" applyNumberFormat="1" applyFont="1" applyBorder="1"/>
    <xf numFmtId="0" fontId="4" fillId="0" borderId="3" xfId="0" applyFont="1" applyBorder="1"/>
    <xf numFmtId="2" fontId="0" fillId="0" borderId="0" xfId="0" applyNumberFormat="1"/>
    <xf numFmtId="165" fontId="2" fillId="0" borderId="0" xfId="2" applyNumberFormat="1" applyFont="1"/>
    <xf numFmtId="0" fontId="3" fillId="0" borderId="1" xfId="0" applyFont="1" applyBorder="1" applyAlignment="1">
      <alignment horizontal="center"/>
    </xf>
    <xf numFmtId="168" fontId="3" fillId="0" borderId="0" xfId="0" applyNumberFormat="1" applyFont="1"/>
    <xf numFmtId="167" fontId="3" fillId="0" borderId="0" xfId="1" applyNumberFormat="1" applyFont="1"/>
    <xf numFmtId="9" fontId="3" fillId="0" borderId="0" xfId="0" applyNumberFormat="1" applyFont="1"/>
    <xf numFmtId="169" fontId="3" fillId="0" borderId="0" xfId="0" applyNumberFormat="1" applyFont="1"/>
    <xf numFmtId="10" fontId="0" fillId="0" borderId="0" xfId="0" applyNumberFormat="1"/>
    <xf numFmtId="171" fontId="3" fillId="0" borderId="0" xfId="0" applyNumberFormat="1" applyFont="1"/>
    <xf numFmtId="10" fontId="3" fillId="0" borderId="0" xfId="0" quotePrefix="1" applyNumberFormat="1" applyFont="1"/>
    <xf numFmtId="168" fontId="3" fillId="0" borderId="0" xfId="2" applyNumberFormat="1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1" defaultTableStyle="TableStyleMedium2" defaultPivotStyle="PivotStyleLight16">
    <tableStyle name="Invisible" pivot="0" table="0" count="0" xr9:uid="{F5F87274-A536-4015-B8A8-56655E23D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80183727034121E-2"/>
          <c:y val="5.1400554097404488E-2"/>
          <c:w val="0.82502362204724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Nulkuponkurve i dag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[1]Sheet1!$D$5:$D$7</c:f>
              <c:numCache>
                <c:formatCode>General</c:formatCode>
                <c:ptCount val="3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E-4E05-B7E6-81AF45DF2CBA}"/>
            </c:ext>
          </c:extLst>
        </c:ser>
        <c:ser>
          <c:idx val="1"/>
          <c:order val="1"/>
          <c:tx>
            <c:v>Chok 1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[1]Sheet1!$E$5:$E$7</c:f>
              <c:numCache>
                <c:formatCode>General</c:formatCode>
                <c:ptCount val="3"/>
                <c:pt idx="0">
                  <c:v>0.02</c:v>
                </c:pt>
                <c:pt idx="1">
                  <c:v>2.5000000000000001E-2</c:v>
                </c:pt>
                <c:pt idx="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E-4E05-B7E6-81AF45DF2CBA}"/>
            </c:ext>
          </c:extLst>
        </c:ser>
        <c:ser>
          <c:idx val="2"/>
          <c:order val="2"/>
          <c:tx>
            <c:v>Chok 2</c:v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val>
            <c:numRef>
              <c:f>[1]Sheet1!$F$5:$F$7</c:f>
              <c:numCache>
                <c:formatCode>General</c:formatCode>
                <c:ptCount val="3"/>
                <c:pt idx="0">
                  <c:v>0.01</c:v>
                </c:pt>
                <c:pt idx="1">
                  <c:v>2.5000000000000001E-2</c:v>
                </c:pt>
                <c:pt idx="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E-4E05-B7E6-81AF45DF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17056"/>
        <c:axId val="34318976"/>
      </c:lineChart>
      <c:catAx>
        <c:axId val="343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>
            <c:manualLayout>
              <c:xMode val="edge"/>
              <c:yMode val="edge"/>
              <c:x val="0.43682655293088368"/>
              <c:y val="0.91571741032370957"/>
            </c:manualLayout>
          </c:layout>
          <c:overlay val="0"/>
        </c:title>
        <c:majorTickMark val="out"/>
        <c:minorTickMark val="none"/>
        <c:tickLblPos val="nextTo"/>
        <c:crossAx val="34318976"/>
        <c:crosses val="autoZero"/>
        <c:auto val="1"/>
        <c:lblAlgn val="ctr"/>
        <c:lblOffset val="100"/>
        <c:noMultiLvlLbl val="0"/>
      </c:catAx>
      <c:valAx>
        <c:axId val="3431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 b="0">
                    <a:latin typeface="Trebuchet MS" pitchFamily="34" charset="0"/>
                  </a:defRPr>
                </a:pPr>
                <a:r>
                  <a:rPr lang="en-US" sz="1100" b="0">
                    <a:latin typeface="Trebuchet MS" pitchFamily="34" charset="0"/>
                  </a:rPr>
                  <a:t>Nulkupon-rente</a:t>
                </a:r>
              </a:p>
            </c:rich>
          </c:tx>
          <c:layout>
            <c:manualLayout>
              <c:xMode val="edge"/>
              <c:yMode val="edge"/>
              <c:x val="0.11905086762940058"/>
              <c:y val="2.412219305920093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3431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824825021872261"/>
          <c:y val="0.54572032662583847"/>
          <c:w val="0.39230943500483489"/>
          <c:h val="0.32522564887722366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147637</xdr:rowOff>
    </xdr:from>
    <xdr:to>
      <xdr:col>10</xdr:col>
      <xdr:colOff>257175</xdr:colOff>
      <xdr:row>36</xdr:row>
      <xdr:rowOff>166687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828800" y="4776787"/>
          <a:ext cx="4524375" cy="2743200"/>
          <a:chOff x="2438400" y="3290887"/>
          <a:chExt cx="470535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2438400" y="3290887"/>
          <a:ext cx="470535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3267075" y="5229225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97,25</a:t>
            </a:r>
            <a:endParaRPr lang="da-DK" sz="1100">
              <a:latin typeface="Trebuchet MS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3048000" y="4276725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97,21</a:t>
            </a:r>
            <a:endParaRPr lang="da-DK" sz="1100">
              <a:latin typeface="Trebuchet MS" pitchFamily="34" charset="0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/>
        </xdr:nvSpPr>
        <xdr:spPr>
          <a:xfrm>
            <a:off x="4953000" y="3390900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94,56</a:t>
            </a:r>
            <a:endParaRPr lang="da-DK" sz="1100">
              <a:latin typeface="Trebuchet MS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ligt/Bog/kapitel%205/Mapping%20eksemp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D5">
            <v>0.01</v>
          </cell>
          <cell r="E5">
            <v>0.02</v>
          </cell>
          <cell r="F5">
            <v>0.01</v>
          </cell>
        </row>
        <row r="6">
          <cell r="D6">
            <v>0.02</v>
          </cell>
          <cell r="E6">
            <v>2.5000000000000001E-2</v>
          </cell>
          <cell r="F6">
            <v>2.5000000000000001E-2</v>
          </cell>
        </row>
        <row r="7">
          <cell r="D7">
            <v>0.03</v>
          </cell>
          <cell r="E7">
            <v>0.03</v>
          </cell>
          <cell r="F7">
            <v>0.04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53FA-1253-4542-AA59-5E11FBA2D827}">
  <dimension ref="A1:R49"/>
  <sheetViews>
    <sheetView showGridLines="0" tabSelected="1" topLeftCell="A11" workbookViewId="0">
      <selection activeCell="H23" sqref="H23"/>
    </sheetView>
  </sheetViews>
  <sheetFormatPr defaultRowHeight="15" x14ac:dyDescent="0.25"/>
  <cols>
    <col min="2" max="2" width="17.42578125" customWidth="1"/>
    <col min="3" max="3" width="9.140625" customWidth="1"/>
    <col min="4" max="4" width="13" customWidth="1"/>
    <col min="5" max="5" width="16" customWidth="1"/>
    <col min="6" max="6" width="8.7109375" customWidth="1"/>
    <col min="7" max="7" width="11.85546875" bestFit="1" customWidth="1"/>
    <col min="8" max="8" width="12.42578125" bestFit="1" customWidth="1"/>
    <col min="11" max="11" width="10.28515625" bestFit="1" customWidth="1"/>
  </cols>
  <sheetData>
    <row r="1" spans="1:18" ht="17.25" x14ac:dyDescent="0.35">
      <c r="A1" s="1"/>
      <c r="B1" s="1"/>
      <c r="C1" s="11"/>
      <c r="D1" s="11"/>
      <c r="E1" s="11"/>
      <c r="F1" s="11"/>
      <c r="G1" s="57">
        <v>48898</v>
      </c>
      <c r="H1" s="11"/>
      <c r="I1" s="11"/>
      <c r="J1" s="11"/>
    </row>
    <row r="2" spans="1:18" ht="17.25" x14ac:dyDescent="0.35">
      <c r="A2" s="1"/>
      <c r="B2" s="1"/>
      <c r="C2" s="11" t="s">
        <v>5</v>
      </c>
      <c r="D2" s="11"/>
      <c r="E2" s="11"/>
      <c r="F2" s="11"/>
      <c r="G2" s="72">
        <v>2.4500000000000001E-2</v>
      </c>
      <c r="H2" s="11"/>
      <c r="I2" s="11"/>
      <c r="J2" s="11"/>
    </row>
    <row r="3" spans="1:18" ht="17.25" x14ac:dyDescent="0.35">
      <c r="A3" s="1"/>
      <c r="B3" s="1"/>
      <c r="C3" s="11" t="s">
        <v>0</v>
      </c>
      <c r="D3" s="11" t="s">
        <v>59</v>
      </c>
      <c r="E3" s="11"/>
      <c r="F3" s="11"/>
      <c r="G3" s="57">
        <v>45310</v>
      </c>
      <c r="H3" s="11"/>
      <c r="I3" s="11"/>
      <c r="J3" s="77"/>
      <c r="M3" s="11"/>
      <c r="N3" s="11"/>
    </row>
    <row r="4" spans="1:18" ht="17.25" x14ac:dyDescent="0.35">
      <c r="A4" s="1"/>
      <c r="B4" s="1"/>
      <c r="C4" s="11" t="s">
        <v>1</v>
      </c>
      <c r="D4" s="11" t="s">
        <v>60</v>
      </c>
      <c r="E4" s="11"/>
      <c r="F4" s="11"/>
      <c r="G4" s="57">
        <v>45314</v>
      </c>
      <c r="H4" s="11"/>
      <c r="I4" s="11"/>
      <c r="J4" s="11"/>
      <c r="M4" s="74"/>
      <c r="N4" s="75"/>
      <c r="R4" s="76"/>
    </row>
    <row r="5" spans="1:18" ht="17.25" x14ac:dyDescent="0.35">
      <c r="A5" s="1"/>
      <c r="B5" s="1"/>
      <c r="C5" s="11" t="s">
        <v>9</v>
      </c>
      <c r="D5" s="11"/>
      <c r="E5" s="11"/>
      <c r="F5" s="11"/>
      <c r="G5" s="57">
        <v>45245</v>
      </c>
      <c r="H5" s="11"/>
      <c r="I5" s="11"/>
      <c r="J5" s="11"/>
      <c r="M5" s="74"/>
      <c r="N5" s="75"/>
      <c r="R5" s="76"/>
    </row>
    <row r="6" spans="1:18" ht="17.25" x14ac:dyDescent="0.35">
      <c r="A6" s="1"/>
      <c r="C6" s="11" t="s">
        <v>16</v>
      </c>
      <c r="D6" s="56"/>
      <c r="E6" s="56"/>
      <c r="F6" s="56"/>
      <c r="G6" s="73">
        <f>+G4-G5</f>
        <v>69</v>
      </c>
      <c r="H6" s="11"/>
      <c r="I6" s="11"/>
      <c r="J6" s="11"/>
      <c r="M6" s="74"/>
      <c r="N6" s="75"/>
      <c r="R6" s="76"/>
    </row>
    <row r="7" spans="1:18" ht="17.25" x14ac:dyDescent="0.35">
      <c r="A7" s="1"/>
      <c r="C7" s="56"/>
      <c r="D7" s="56"/>
      <c r="E7" s="56"/>
      <c r="F7" s="56"/>
      <c r="G7" s="11"/>
      <c r="H7" s="11"/>
      <c r="I7" s="11"/>
      <c r="J7" s="11"/>
      <c r="M7" s="74"/>
      <c r="N7" s="75"/>
      <c r="R7" s="76"/>
    </row>
    <row r="8" spans="1:18" ht="17.25" x14ac:dyDescent="0.35">
      <c r="A8" s="1"/>
      <c r="G8" s="1"/>
      <c r="H8" s="1"/>
      <c r="I8" s="1"/>
      <c r="J8" s="70"/>
      <c r="M8" s="74"/>
      <c r="N8" s="75"/>
      <c r="R8" s="76"/>
    </row>
    <row r="9" spans="1:18" ht="17.25" x14ac:dyDescent="0.35">
      <c r="A9" s="1"/>
      <c r="B9" s="11" t="s">
        <v>64</v>
      </c>
      <c r="C9" s="11"/>
      <c r="D9" s="11"/>
      <c r="E9" s="11" t="s">
        <v>9</v>
      </c>
      <c r="F9" s="56"/>
      <c r="G9" s="57">
        <f>+G5</f>
        <v>45245</v>
      </c>
      <c r="H9" s="1"/>
      <c r="I9" s="1"/>
      <c r="J9" s="1"/>
      <c r="M9" s="74"/>
      <c r="N9" s="75"/>
      <c r="R9" s="76"/>
    </row>
    <row r="10" spans="1:18" ht="17.25" x14ac:dyDescent="0.35">
      <c r="A10" s="1"/>
      <c r="B10" s="11" t="s">
        <v>62</v>
      </c>
      <c r="C10" s="11"/>
      <c r="D10" s="11"/>
      <c r="E10" s="11" t="s">
        <v>17</v>
      </c>
      <c r="F10" s="11"/>
      <c r="G10" s="58">
        <f>+G6</f>
        <v>69</v>
      </c>
      <c r="H10" s="1"/>
      <c r="I10" s="1"/>
      <c r="J10" s="1"/>
      <c r="M10" s="74"/>
      <c r="N10" s="75"/>
      <c r="R10" s="76"/>
    </row>
    <row r="11" spans="1:18" ht="17.25" x14ac:dyDescent="0.35">
      <c r="A11" s="1"/>
      <c r="B11" s="11" t="s">
        <v>63</v>
      </c>
      <c r="C11" s="20">
        <v>2.4500000000000001E-2</v>
      </c>
      <c r="D11" s="11"/>
      <c r="E11" s="11" t="s">
        <v>6</v>
      </c>
      <c r="F11" s="11"/>
      <c r="G11" s="35">
        <f>+E28</f>
        <v>0.4241803278688524</v>
      </c>
      <c r="H11" s="1"/>
      <c r="I11" s="1"/>
      <c r="J11" s="1"/>
      <c r="M11" s="74"/>
      <c r="N11" s="75"/>
      <c r="R11" s="76"/>
    </row>
    <row r="12" spans="1:18" ht="17.25" x14ac:dyDescent="0.35">
      <c r="A12" s="1"/>
      <c r="B12" s="59"/>
      <c r="C12" s="59"/>
      <c r="D12" s="59"/>
      <c r="E12" s="59" t="s">
        <v>7</v>
      </c>
      <c r="F12" s="59"/>
      <c r="G12" s="14"/>
      <c r="H12" s="11"/>
      <c r="I12" s="1"/>
      <c r="J12" s="1"/>
      <c r="M12" s="74"/>
      <c r="N12" s="75"/>
      <c r="R12" s="76"/>
    </row>
    <row r="13" spans="1:18" ht="17.25" x14ac:dyDescent="0.35">
      <c r="A13" s="1"/>
      <c r="B13" s="21" t="s">
        <v>2</v>
      </c>
      <c r="C13" s="21" t="s">
        <v>3</v>
      </c>
      <c r="D13" s="21" t="s">
        <v>4</v>
      </c>
      <c r="E13" s="21" t="s">
        <v>8</v>
      </c>
      <c r="F13" s="21" t="s">
        <v>10</v>
      </c>
      <c r="G13" s="21" t="s">
        <v>11</v>
      </c>
      <c r="H13" s="11"/>
      <c r="I13" s="1"/>
      <c r="J13" s="1"/>
      <c r="M13" s="74"/>
      <c r="N13" s="75"/>
      <c r="R13" s="76"/>
    </row>
    <row r="14" spans="1:18" ht="17.25" x14ac:dyDescent="0.35">
      <c r="A14" s="1"/>
      <c r="B14" s="60">
        <v>45611</v>
      </c>
      <c r="C14" s="61">
        <f>+(B14-G4)/366</f>
        <v>0.81147540983606559</v>
      </c>
      <c r="D14" s="14">
        <v>2.25</v>
      </c>
      <c r="E14" s="61">
        <f t="shared" ref="E14:E23" si="0">+D14*(1+$G$2)^-C14</f>
        <v>2.2062377880796671</v>
      </c>
      <c r="F14" s="62">
        <f t="shared" ref="F14:F19" si="1">+E14/$E$27</f>
        <v>2.2354236973225073E-2</v>
      </c>
      <c r="G14" s="61">
        <f t="shared" ref="G14:G23" si="2">+F14*C14</f>
        <v>1.8139913609420348E-2</v>
      </c>
      <c r="H14" s="35"/>
      <c r="J14" s="1"/>
      <c r="K14" s="69"/>
      <c r="M14" s="74"/>
      <c r="N14" s="75"/>
      <c r="R14" s="76"/>
    </row>
    <row r="15" spans="1:18" ht="17.25" x14ac:dyDescent="0.35">
      <c r="A15" s="1"/>
      <c r="B15" s="57">
        <f>EDATE(B14,12)</f>
        <v>45976</v>
      </c>
      <c r="C15" s="35">
        <f>+C14+1</f>
        <v>1.8114754098360657</v>
      </c>
      <c r="D15" s="11">
        <f>+D14</f>
        <v>2.25</v>
      </c>
      <c r="E15" s="35">
        <f t="shared" si="0"/>
        <v>2.1534775871934277</v>
      </c>
      <c r="F15" s="63">
        <f t="shared" si="1"/>
        <v>2.1819655415544235E-2</v>
      </c>
      <c r="G15" s="35">
        <f t="shared" si="2"/>
        <v>3.9525769236354723E-2</v>
      </c>
      <c r="H15" s="35"/>
      <c r="J15" s="1"/>
      <c r="M15" s="74"/>
      <c r="N15" s="75"/>
      <c r="R15" s="76"/>
    </row>
    <row r="16" spans="1:18" ht="17.25" x14ac:dyDescent="0.35">
      <c r="A16" s="1"/>
      <c r="B16" s="57">
        <f>EDATE(B15,12)</f>
        <v>46341</v>
      </c>
      <c r="C16" s="35">
        <f>+C15+1</f>
        <v>2.8114754098360657</v>
      </c>
      <c r="D16" s="11">
        <f>+D15</f>
        <v>2.25</v>
      </c>
      <c r="E16" s="35">
        <f t="shared" si="0"/>
        <v>2.1019790992615208</v>
      </c>
      <c r="F16" s="63">
        <f t="shared" si="1"/>
        <v>2.1297857897066119E-2</v>
      </c>
      <c r="G16" s="35">
        <f t="shared" si="2"/>
        <v>5.9878403759784253E-2</v>
      </c>
      <c r="H16" s="35"/>
      <c r="J16" s="1"/>
      <c r="M16" s="74"/>
      <c r="N16" s="75"/>
      <c r="R16" s="76"/>
    </row>
    <row r="17" spans="1:18" ht="17.25" x14ac:dyDescent="0.35">
      <c r="A17" s="1"/>
      <c r="B17" s="57">
        <f>EDATE(B16,12)</f>
        <v>46706</v>
      </c>
      <c r="C17" s="35">
        <f>+C16+1</f>
        <v>3.8114754098360657</v>
      </c>
      <c r="D17" s="11">
        <f t="shared" ref="D17:D18" si="3">+D16</f>
        <v>2.25</v>
      </c>
      <c r="E17" s="35">
        <f t="shared" si="0"/>
        <v>2.0517121515485806</v>
      </c>
      <c r="F17" s="63">
        <f t="shared" si="1"/>
        <v>2.0788538698942038E-2</v>
      </c>
      <c r="G17" s="35">
        <f t="shared" si="2"/>
        <v>7.923500405744302E-2</v>
      </c>
      <c r="H17" s="35"/>
      <c r="J17" s="1"/>
      <c r="M17" s="74"/>
      <c r="N17" s="75"/>
      <c r="R17" s="76"/>
    </row>
    <row r="18" spans="1:18" ht="17.25" x14ac:dyDescent="0.35">
      <c r="A18" s="1"/>
      <c r="B18" s="57">
        <f>EDATE(B17,12)</f>
        <v>47072</v>
      </c>
      <c r="C18" s="35">
        <f>+C17+1</f>
        <v>4.8114754098360653</v>
      </c>
      <c r="D18" s="11">
        <f t="shared" si="3"/>
        <v>2.25</v>
      </c>
      <c r="E18" s="35">
        <f t="shared" si="0"/>
        <v>2.0026472928731875</v>
      </c>
      <c r="F18" s="63">
        <f t="shared" si="1"/>
        <v>2.02913994133158E-2</v>
      </c>
      <c r="G18" s="35">
        <f t="shared" si="2"/>
        <v>9.7631569308330932E-2</v>
      </c>
      <c r="H18" s="35"/>
      <c r="J18" s="1"/>
      <c r="M18" s="74"/>
      <c r="N18" s="75"/>
      <c r="R18" s="76"/>
    </row>
    <row r="19" spans="1:18" ht="17.25" x14ac:dyDescent="0.35">
      <c r="A19" s="1"/>
      <c r="B19" s="57">
        <f>EDATE(B18,12)</f>
        <v>47437</v>
      </c>
      <c r="C19" s="35">
        <f>+C18+1</f>
        <v>5.8114754098360653</v>
      </c>
      <c r="D19" s="11">
        <f>+D18</f>
        <v>2.25</v>
      </c>
      <c r="E19" s="35">
        <f t="shared" si="0"/>
        <v>1.9547557763525503</v>
      </c>
      <c r="F19" s="63">
        <f t="shared" si="1"/>
        <v>1.9806148768487852E-2</v>
      </c>
      <c r="G19" s="35">
        <f t="shared" si="2"/>
        <v>0.11510294653162202</v>
      </c>
      <c r="H19" s="35"/>
      <c r="J19" s="1"/>
      <c r="M19" s="74"/>
      <c r="N19" s="75"/>
      <c r="R19" s="76"/>
    </row>
    <row r="20" spans="1:18" ht="17.25" x14ac:dyDescent="0.35">
      <c r="A20" s="1"/>
      <c r="B20" s="57">
        <f t="shared" ref="B20:B23" si="4">EDATE(B19,12)</f>
        <v>47802</v>
      </c>
      <c r="C20" s="35">
        <f t="shared" ref="C20:C23" si="5">+C19+1</f>
        <v>6.8114754098360653</v>
      </c>
      <c r="D20" s="11">
        <f t="shared" ref="D20:D22" si="6">+D19</f>
        <v>2.25</v>
      </c>
      <c r="E20" s="35">
        <f t="shared" si="0"/>
        <v>1.9080095425598342</v>
      </c>
      <c r="F20" s="63">
        <f t="shared" ref="F20:F23" si="7">+E20/$E$27</f>
        <v>1.9332502458260469E-2</v>
      </c>
      <c r="G20" s="35">
        <f t="shared" si="2"/>
        <v>0.13168286510503646</v>
      </c>
      <c r="H20" s="35"/>
      <c r="M20" s="74"/>
      <c r="N20" s="75"/>
      <c r="R20" s="76"/>
    </row>
    <row r="21" spans="1:18" ht="17.25" x14ac:dyDescent="0.35">
      <c r="A21" s="1"/>
      <c r="B21" s="57">
        <f t="shared" si="4"/>
        <v>48167</v>
      </c>
      <c r="C21" s="35">
        <f t="shared" si="5"/>
        <v>7.8114754098360653</v>
      </c>
      <c r="D21" s="11">
        <f t="shared" si="6"/>
        <v>2.25</v>
      </c>
      <c r="E21" s="35">
        <f t="shared" si="0"/>
        <v>1.8623812030842699</v>
      </c>
      <c r="F21" s="63">
        <f t="shared" si="7"/>
        <v>1.8870182975364053E-2</v>
      </c>
      <c r="G21" s="35">
        <f t="shared" si="2"/>
        <v>0.14740397029116345</v>
      </c>
      <c r="H21" s="35"/>
      <c r="M21" s="74"/>
      <c r="N21" s="75"/>
      <c r="R21" s="76"/>
    </row>
    <row r="22" spans="1:18" ht="17.25" x14ac:dyDescent="0.35">
      <c r="A22" s="1"/>
      <c r="B22" s="57">
        <f t="shared" si="4"/>
        <v>48533</v>
      </c>
      <c r="C22" s="35">
        <f t="shared" si="5"/>
        <v>8.8114754098360653</v>
      </c>
      <c r="D22" s="11">
        <f t="shared" si="6"/>
        <v>2.25</v>
      </c>
      <c r="E22" s="35">
        <f t="shared" si="0"/>
        <v>1.8178440244844019</v>
      </c>
      <c r="F22" s="63">
        <f t="shared" si="7"/>
        <v>1.8418919448866814E-2</v>
      </c>
      <c r="G22" s="35">
        <f t="shared" si="2"/>
        <v>0.16229785579944117</v>
      </c>
      <c r="H22" s="35"/>
      <c r="L22" s="8"/>
      <c r="M22" s="74"/>
      <c r="N22" s="75"/>
      <c r="R22" s="76"/>
    </row>
    <row r="23" spans="1:18" ht="17.25" x14ac:dyDescent="0.35">
      <c r="A23" s="1"/>
      <c r="B23" s="57">
        <f t="shared" si="4"/>
        <v>48898</v>
      </c>
      <c r="C23" s="35">
        <f t="shared" si="5"/>
        <v>9.8114754098360653</v>
      </c>
      <c r="D23" s="11">
        <v>102.25</v>
      </c>
      <c r="E23" s="35">
        <f t="shared" si="0"/>
        <v>80.635345807073421</v>
      </c>
      <c r="F23" s="63">
        <f t="shared" si="7"/>
        <v>0.81702055795092754</v>
      </c>
      <c r="G23" s="35">
        <f t="shared" si="2"/>
        <v>8.0161771136660676</v>
      </c>
      <c r="H23" s="35"/>
      <c r="M23" s="74"/>
      <c r="N23" s="75"/>
      <c r="R23" s="76"/>
    </row>
    <row r="24" spans="1:18" ht="17.25" x14ac:dyDescent="0.35">
      <c r="A24" s="1"/>
      <c r="H24" s="56"/>
      <c r="M24" s="74"/>
      <c r="N24" s="75"/>
      <c r="R24" s="76"/>
    </row>
    <row r="25" spans="1:18" ht="17.25" x14ac:dyDescent="0.35">
      <c r="A25" s="1"/>
      <c r="B25" s="65"/>
      <c r="C25" s="25"/>
      <c r="D25" s="66" t="s">
        <v>15</v>
      </c>
      <c r="E25" s="37">
        <f>SUM(E14:E23)</f>
        <v>98.694390272510859</v>
      </c>
      <c r="F25" s="67">
        <f>SUM(F14:F23)</f>
        <v>1</v>
      </c>
      <c r="G25" s="37">
        <f>SUM(G14:G23)</f>
        <v>8.867075411364663</v>
      </c>
      <c r="H25" s="35"/>
      <c r="J25" s="1"/>
      <c r="M25" s="74"/>
      <c r="N25" s="75"/>
      <c r="R25" s="76"/>
    </row>
    <row r="26" spans="1:18" ht="17.25" x14ac:dyDescent="0.35">
      <c r="A26" s="1"/>
      <c r="B26" s="57"/>
      <c r="C26" s="56"/>
      <c r="D26" s="56"/>
      <c r="E26" s="56"/>
      <c r="F26" s="11"/>
      <c r="G26" s="11"/>
      <c r="H26" s="1"/>
      <c r="I26" s="1"/>
      <c r="J26" s="1"/>
      <c r="M26" s="74"/>
      <c r="N26" s="75"/>
      <c r="R26" s="76"/>
    </row>
    <row r="27" spans="1:18" ht="17.25" x14ac:dyDescent="0.35">
      <c r="A27" s="1"/>
      <c r="B27" s="14" t="s">
        <v>18</v>
      </c>
      <c r="C27" s="59"/>
      <c r="D27" s="14"/>
      <c r="E27" s="61">
        <f>+E25</f>
        <v>98.694390272510859</v>
      </c>
      <c r="F27" s="11"/>
      <c r="G27" s="11"/>
      <c r="H27" s="1"/>
      <c r="I27" s="1"/>
      <c r="J27" s="1"/>
      <c r="M27" s="74"/>
      <c r="N27" s="75"/>
      <c r="R27" s="76"/>
    </row>
    <row r="28" spans="1:18" ht="17.25" x14ac:dyDescent="0.35">
      <c r="A28" s="1"/>
      <c r="B28" s="11" t="s">
        <v>6</v>
      </c>
      <c r="C28" s="56"/>
      <c r="D28" s="11"/>
      <c r="E28" s="35">
        <f>+G6/366*2.25</f>
        <v>0.4241803278688524</v>
      </c>
      <c r="F28" s="11"/>
      <c r="G28" s="11"/>
      <c r="H28" s="5"/>
      <c r="I28" s="1"/>
      <c r="J28" s="1"/>
      <c r="M28" s="74"/>
      <c r="N28" s="75"/>
      <c r="R28" s="76"/>
    </row>
    <row r="29" spans="1:18" ht="17.25" x14ac:dyDescent="0.35">
      <c r="A29" s="1"/>
      <c r="B29" s="21" t="s">
        <v>19</v>
      </c>
      <c r="C29" s="68"/>
      <c r="D29" s="21"/>
      <c r="E29" s="64">
        <f>+E27-E28</f>
        <v>98.270209944642005</v>
      </c>
      <c r="F29" s="11"/>
      <c r="G29" s="11"/>
      <c r="H29" s="1"/>
      <c r="I29" s="1"/>
      <c r="J29" s="1"/>
      <c r="M29" s="74"/>
      <c r="N29" s="75"/>
      <c r="R29" s="76"/>
    </row>
    <row r="30" spans="1:18" ht="17.25" x14ac:dyDescent="0.35">
      <c r="A30" s="1"/>
      <c r="B30" s="1"/>
      <c r="D30" s="1"/>
      <c r="E30" s="1"/>
      <c r="F30" s="1"/>
      <c r="G30" s="1"/>
      <c r="H30" s="1"/>
      <c r="I30" s="1"/>
      <c r="J30" s="1"/>
      <c r="M30" s="74"/>
      <c r="N30" s="75"/>
      <c r="R30" s="76"/>
    </row>
    <row r="31" spans="1:18" ht="17.25" x14ac:dyDescent="0.35">
      <c r="B31" s="14" t="s">
        <v>12</v>
      </c>
      <c r="C31" s="59"/>
      <c r="D31" s="14"/>
      <c r="E31" s="61">
        <f>+G25</f>
        <v>8.867075411364663</v>
      </c>
      <c r="F31" s="1"/>
      <c r="G31" s="1"/>
      <c r="H31" s="1">
        <f>+H25/(1+G2)^2</f>
        <v>0</v>
      </c>
      <c r="I31" s="1"/>
      <c r="J31" s="5"/>
      <c r="M31" s="74"/>
      <c r="N31" s="75"/>
      <c r="R31" s="76"/>
    </row>
    <row r="32" spans="1:18" ht="17.25" x14ac:dyDescent="0.35">
      <c r="B32" s="11" t="s">
        <v>13</v>
      </c>
      <c r="C32" s="56"/>
      <c r="D32" s="11"/>
      <c r="E32" s="35">
        <f>+E31/(1+G2)</f>
        <v>8.6550272438893732</v>
      </c>
      <c r="F32" s="1"/>
      <c r="G32" s="1"/>
      <c r="H32" s="1"/>
      <c r="I32" s="1"/>
      <c r="J32" s="5"/>
      <c r="M32" s="74"/>
      <c r="N32" s="75"/>
      <c r="R32" s="76"/>
    </row>
    <row r="33" spans="2:18" ht="17.25" x14ac:dyDescent="0.35">
      <c r="B33" s="21" t="s">
        <v>14</v>
      </c>
      <c r="C33" s="68"/>
      <c r="D33" s="21"/>
      <c r="E33" s="64">
        <f>+E32*E27/100</f>
        <v>8.5420263662763176</v>
      </c>
      <c r="F33" s="1"/>
      <c r="G33" s="1"/>
      <c r="H33" s="1"/>
      <c r="I33" s="1"/>
      <c r="J33" s="1"/>
      <c r="M33" s="74"/>
      <c r="N33" s="75"/>
      <c r="R33" s="76"/>
    </row>
    <row r="34" spans="2:18" ht="17.25" x14ac:dyDescent="0.35">
      <c r="B34" s="1"/>
      <c r="C34" s="1"/>
      <c r="D34" s="1"/>
      <c r="E34" s="1"/>
      <c r="F34" s="1"/>
      <c r="G34" s="1"/>
      <c r="H34" s="1"/>
      <c r="I34" s="1"/>
      <c r="J34" s="1"/>
      <c r="M34" s="74"/>
      <c r="N34" s="75"/>
      <c r="R34" s="76"/>
    </row>
    <row r="35" spans="2:18" ht="16.5" x14ac:dyDescent="0.3">
      <c r="B35" s="1"/>
      <c r="C35" s="10"/>
      <c r="D35" s="1"/>
      <c r="E35" s="1"/>
      <c r="F35" s="1"/>
      <c r="G35" s="1"/>
      <c r="H35" s="9"/>
      <c r="I35" s="1"/>
      <c r="J35" s="1"/>
      <c r="M35" s="8"/>
      <c r="R35" s="76"/>
    </row>
    <row r="36" spans="2:18" ht="17.25" x14ac:dyDescent="0.35">
      <c r="B36" s="11"/>
      <c r="C36" s="13"/>
      <c r="D36" s="11"/>
      <c r="E36" s="11"/>
      <c r="G36" s="1"/>
      <c r="M36" s="8"/>
      <c r="R36" s="76"/>
    </row>
    <row r="37" spans="2:18" ht="17.25" x14ac:dyDescent="0.35">
      <c r="B37" s="78"/>
      <c r="C37" s="79"/>
      <c r="D37" s="35"/>
      <c r="E37" s="35"/>
      <c r="F37" s="1"/>
      <c r="G37" s="5"/>
      <c r="M37" s="8"/>
    </row>
    <row r="38" spans="2:18" ht="17.25" x14ac:dyDescent="0.35">
      <c r="B38" s="78"/>
      <c r="C38" s="79"/>
      <c r="D38" s="35"/>
      <c r="E38" s="35"/>
      <c r="F38" s="1"/>
      <c r="G38" s="5"/>
      <c r="M38" s="8"/>
    </row>
    <row r="39" spans="2:18" x14ac:dyDescent="0.25">
      <c r="M39" s="8"/>
    </row>
    <row r="40" spans="2:18" x14ac:dyDescent="0.25">
      <c r="M40" s="8"/>
    </row>
    <row r="43" spans="2:18" x14ac:dyDescent="0.25">
      <c r="D43" s="7"/>
      <c r="E43" s="6"/>
      <c r="G43" s="7"/>
      <c r="H43" s="6"/>
    </row>
    <row r="44" spans="2:18" x14ac:dyDescent="0.25">
      <c r="D44" s="7"/>
      <c r="E44" s="6"/>
      <c r="G44" s="7"/>
    </row>
    <row r="45" spans="2:18" x14ac:dyDescent="0.25">
      <c r="D45" s="7"/>
      <c r="E45" s="6"/>
      <c r="G45" s="7"/>
    </row>
    <row r="46" spans="2:18" x14ac:dyDescent="0.25">
      <c r="D46" s="7"/>
      <c r="E46" s="6"/>
      <c r="G46" s="7"/>
    </row>
    <row r="47" spans="2:18" x14ac:dyDescent="0.25">
      <c r="D47" s="7"/>
      <c r="E47" s="6"/>
      <c r="G47" s="7"/>
    </row>
    <row r="48" spans="2:18" x14ac:dyDescent="0.25">
      <c r="D48" s="7"/>
      <c r="E48" s="6"/>
      <c r="G48" s="7"/>
    </row>
    <row r="49" spans="4:7" x14ac:dyDescent="0.25">
      <c r="D49" s="7"/>
      <c r="E49" s="6"/>
      <c r="G4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showGridLines="0" workbookViewId="0">
      <selection activeCell="H15" sqref="H15"/>
    </sheetView>
  </sheetViews>
  <sheetFormatPr defaultRowHeight="15" x14ac:dyDescent="0.25"/>
  <cols>
    <col min="3" max="3" width="10.42578125" bestFit="1" customWidth="1"/>
    <col min="4" max="4" width="10.140625" bestFit="1" customWidth="1"/>
    <col min="5" max="5" width="10.28515625" bestFit="1" customWidth="1"/>
    <col min="6" max="6" width="10.140625" bestFit="1" customWidth="1"/>
    <col min="7" max="7" width="8.42578125" bestFit="1" customWidth="1"/>
    <col min="8" max="8" width="6.7109375" bestFit="1" customWidth="1"/>
    <col min="9" max="9" width="10.28515625" bestFit="1" customWidth="1"/>
    <col min="10" max="10" width="7.5703125" bestFit="1" customWidth="1"/>
    <col min="11" max="11" width="10" bestFit="1" customWidth="1"/>
  </cols>
  <sheetData>
    <row r="1" spans="1:28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25" x14ac:dyDescent="0.35">
      <c r="A5" s="1"/>
      <c r="B5" s="1"/>
      <c r="C5" s="11"/>
      <c r="D5" s="12" t="s">
        <v>30</v>
      </c>
      <c r="E5" s="12" t="s">
        <v>28</v>
      </c>
      <c r="F5" s="12" t="s">
        <v>35</v>
      </c>
      <c r="G5" s="12" t="s">
        <v>24</v>
      </c>
      <c r="H5" s="12" t="s">
        <v>25</v>
      </c>
      <c r="I5" s="12" t="s">
        <v>27</v>
      </c>
      <c r="J5" s="12" t="s">
        <v>32</v>
      </c>
      <c r="K5" s="12" t="s">
        <v>32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7.25" x14ac:dyDescent="0.35">
      <c r="A6" s="1"/>
      <c r="B6" s="1"/>
      <c r="C6" s="11"/>
      <c r="D6" s="13" t="s">
        <v>31</v>
      </c>
      <c r="E6" s="13" t="s">
        <v>29</v>
      </c>
      <c r="F6" s="13" t="s">
        <v>36</v>
      </c>
      <c r="G6" s="13" t="s">
        <v>12</v>
      </c>
      <c r="H6" s="13" t="s">
        <v>26</v>
      </c>
      <c r="I6" s="13" t="s">
        <v>12</v>
      </c>
      <c r="J6" s="13" t="s">
        <v>33</v>
      </c>
      <c r="K6" s="13" t="s">
        <v>34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x14ac:dyDescent="0.35">
      <c r="A7" s="1"/>
      <c r="B7" s="1"/>
      <c r="C7" s="14" t="s">
        <v>21</v>
      </c>
      <c r="D7" s="15">
        <v>10000000</v>
      </c>
      <c r="E7" s="16">
        <v>99.3</v>
      </c>
      <c r="F7" s="15">
        <f>+D7*E7/100</f>
        <v>9930000</v>
      </c>
      <c r="G7" s="16">
        <v>2.2000000000000002</v>
      </c>
      <c r="H7" s="17">
        <v>1.0999999999999999E-2</v>
      </c>
      <c r="I7" s="16">
        <f>+G7/(1+H7)</f>
        <v>2.1760633036597432</v>
      </c>
      <c r="J7" s="16">
        <f>+I7*E7/100</f>
        <v>2.1608308605341251</v>
      </c>
      <c r="K7" s="14">
        <v>1400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7.25" x14ac:dyDescent="0.35">
      <c r="A8" s="1"/>
      <c r="B8" s="1"/>
      <c r="C8" s="11" t="s">
        <v>22</v>
      </c>
      <c r="D8" s="18">
        <v>15000000</v>
      </c>
      <c r="E8" s="19">
        <v>101.5</v>
      </c>
      <c r="F8" s="18">
        <f>+D8*E8/100</f>
        <v>15225000</v>
      </c>
      <c r="G8" s="19">
        <v>4.8</v>
      </c>
      <c r="H8" s="20">
        <v>1.4999999999999999E-2</v>
      </c>
      <c r="I8" s="19">
        <f>+G8/(1+H8)</f>
        <v>4.7290640394088674</v>
      </c>
      <c r="J8" s="19">
        <f>+I8*E8/100</f>
        <v>4.8000000000000007</v>
      </c>
      <c r="K8" s="11">
        <v>3400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7.25" x14ac:dyDescent="0.35">
      <c r="A9" s="1"/>
      <c r="B9" s="1"/>
      <c r="C9" s="21" t="s">
        <v>23</v>
      </c>
      <c r="D9" s="22">
        <v>25000000</v>
      </c>
      <c r="E9" s="23">
        <v>102.8</v>
      </c>
      <c r="F9" s="22">
        <f>+D9*E9/100</f>
        <v>25700000</v>
      </c>
      <c r="G9" s="23">
        <v>10.5</v>
      </c>
      <c r="H9" s="24">
        <v>1.9E-2</v>
      </c>
      <c r="I9" s="23">
        <f>+G9/(1+H9)</f>
        <v>10.304219823356233</v>
      </c>
      <c r="J9" s="23">
        <f>+I9*E9/100</f>
        <v>10.592737978410208</v>
      </c>
      <c r="K9" s="23">
        <v>12000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7.25" x14ac:dyDescent="0.35">
      <c r="A10" s="1"/>
      <c r="B10" s="1"/>
      <c r="C10" s="11"/>
      <c r="D10" s="11"/>
      <c r="E10" s="11"/>
      <c r="F10" s="11"/>
      <c r="G10" s="11"/>
      <c r="H10" s="11"/>
      <c r="I10" s="11"/>
      <c r="J10" s="1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7.25" x14ac:dyDescent="0.35">
      <c r="A11" s="1"/>
      <c r="B11" s="1"/>
      <c r="C11" s="25" t="s">
        <v>37</v>
      </c>
      <c r="D11" s="26">
        <f>SUM(D7:D9)</f>
        <v>50000000</v>
      </c>
      <c r="E11" s="25"/>
      <c r="F11" s="26">
        <f>SUM(F7:F9)</f>
        <v>50855000</v>
      </c>
      <c r="G11" s="27">
        <f>SUMPRODUCT(G7:G9,F7:F9)/SUM(F7:F9)</f>
        <v>7.1728640251695994</v>
      </c>
      <c r="H11" s="28">
        <f>SUMPRODUCT(H7:H9,J7:J9,D7:D9)/SUMPRODUCT(J7:J9,D7:D9)</f>
        <v>1.7714196252171591E-2</v>
      </c>
      <c r="I11" s="27">
        <f>SUMPRODUCT(I7:I9,F7:F9)/SUM(F7:F9)</f>
        <v>7.0480141198622839</v>
      </c>
      <c r="J11" s="27">
        <f>SUMPRODUCT(J7:J9,D7:D9)/SUM(D7:D9)</f>
        <v>7.1685351613119295</v>
      </c>
      <c r="K11" s="27">
        <f>SUMPRODUCT(K7:K9,D7:D9)/SUM(D7:D9)</f>
        <v>7300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6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6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6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showGridLines="0" topLeftCell="A9" workbookViewId="0">
      <selection activeCell="H33" sqref="H33"/>
    </sheetView>
  </sheetViews>
  <sheetFormatPr defaultRowHeight="15" x14ac:dyDescent="0.25"/>
  <cols>
    <col min="2" max="2" width="17.42578125" customWidth="1"/>
    <col min="3" max="3" width="9.140625" customWidth="1"/>
    <col min="4" max="4" width="13" customWidth="1"/>
    <col min="5" max="5" width="16" customWidth="1"/>
    <col min="6" max="6" width="8.7109375" customWidth="1"/>
    <col min="7" max="7" width="11.85546875" bestFit="1" customWidth="1"/>
    <col min="8" max="8" width="12.42578125" bestFit="1" customWidth="1"/>
    <col min="11" max="11" width="10.28515625" bestFit="1" customWidth="1"/>
  </cols>
  <sheetData>
    <row r="1" spans="1:18" ht="17.25" x14ac:dyDescent="0.35">
      <c r="A1" s="1"/>
      <c r="B1" s="1"/>
      <c r="C1" s="11"/>
      <c r="D1" s="11"/>
      <c r="E1" s="11"/>
      <c r="F1" s="11"/>
      <c r="G1" s="57">
        <v>48898</v>
      </c>
      <c r="H1" s="11"/>
      <c r="I1" s="11"/>
      <c r="J1" s="11"/>
    </row>
    <row r="2" spans="1:18" ht="17.25" x14ac:dyDescent="0.35">
      <c r="A2" s="1"/>
      <c r="B2" s="1"/>
      <c r="C2" s="11" t="s">
        <v>5</v>
      </c>
      <c r="D2" s="11"/>
      <c r="E2" s="11"/>
      <c r="F2" s="11"/>
      <c r="G2" s="72">
        <v>2.4500000000000001E-2</v>
      </c>
      <c r="H2" s="11"/>
      <c r="I2" s="11"/>
      <c r="J2" s="11"/>
    </row>
    <row r="3" spans="1:18" ht="17.25" x14ac:dyDescent="0.35">
      <c r="A3" s="1"/>
      <c r="B3" s="1"/>
      <c r="C3" s="11" t="s">
        <v>0</v>
      </c>
      <c r="D3" s="11" t="s">
        <v>59</v>
      </c>
      <c r="E3" s="11"/>
      <c r="F3" s="11"/>
      <c r="G3" s="57">
        <v>45310</v>
      </c>
      <c r="H3" s="11"/>
      <c r="I3" s="11"/>
      <c r="J3" s="77"/>
      <c r="M3" s="11"/>
      <c r="N3" s="11"/>
    </row>
    <row r="4" spans="1:18" ht="17.25" x14ac:dyDescent="0.35">
      <c r="A4" s="1"/>
      <c r="B4" s="1"/>
      <c r="C4" s="11" t="s">
        <v>1</v>
      </c>
      <c r="D4" s="11" t="s">
        <v>60</v>
      </c>
      <c r="E4" s="11"/>
      <c r="F4" s="11"/>
      <c r="G4" s="57">
        <v>45314</v>
      </c>
      <c r="H4" s="11"/>
      <c r="I4" s="11"/>
      <c r="J4" s="11"/>
      <c r="M4" s="74"/>
      <c r="N4" s="75"/>
      <c r="R4" s="76"/>
    </row>
    <row r="5" spans="1:18" ht="17.25" x14ac:dyDescent="0.35">
      <c r="A5" s="1"/>
      <c r="B5" s="1"/>
      <c r="C5" s="11" t="s">
        <v>9</v>
      </c>
      <c r="D5" s="11"/>
      <c r="E5" s="11"/>
      <c r="F5" s="11"/>
      <c r="G5" s="57">
        <v>45245</v>
      </c>
      <c r="H5" s="11"/>
      <c r="I5" s="11"/>
      <c r="J5" s="11"/>
      <c r="M5" s="74"/>
      <c r="N5" s="75"/>
      <c r="R5" s="76"/>
    </row>
    <row r="6" spans="1:18" ht="17.25" x14ac:dyDescent="0.35">
      <c r="A6" s="1"/>
      <c r="C6" s="11" t="s">
        <v>16</v>
      </c>
      <c r="D6" s="56"/>
      <c r="E6" s="56"/>
      <c r="F6" s="56"/>
      <c r="G6" s="73">
        <f>+G4-G5</f>
        <v>69</v>
      </c>
      <c r="H6" s="11"/>
      <c r="I6" s="11"/>
      <c r="J6" s="11"/>
      <c r="M6" s="74"/>
      <c r="N6" s="75"/>
      <c r="R6" s="76"/>
    </row>
    <row r="7" spans="1:18" ht="17.25" x14ac:dyDescent="0.35">
      <c r="A7" s="1"/>
      <c r="C7" s="56"/>
      <c r="D7" s="56"/>
      <c r="E7" s="56"/>
      <c r="F7" s="56"/>
      <c r="G7" s="11"/>
      <c r="H7" s="11"/>
      <c r="I7" s="11"/>
      <c r="J7" s="11"/>
      <c r="M7" s="74"/>
      <c r="N7" s="75"/>
      <c r="R7" s="76"/>
    </row>
    <row r="8" spans="1:18" ht="17.25" x14ac:dyDescent="0.35">
      <c r="A8" s="1"/>
      <c r="G8" s="1"/>
      <c r="H8" s="1"/>
      <c r="I8" s="1"/>
      <c r="J8" s="70"/>
      <c r="M8" s="74"/>
      <c r="N8" s="75"/>
      <c r="R8" s="76"/>
    </row>
    <row r="9" spans="1:18" ht="17.25" x14ac:dyDescent="0.35">
      <c r="A9" s="1"/>
      <c r="B9" s="11" t="s">
        <v>64</v>
      </c>
      <c r="C9" s="11"/>
      <c r="D9" s="11"/>
      <c r="E9" s="11" t="s">
        <v>9</v>
      </c>
      <c r="F9" s="56"/>
      <c r="G9" s="57">
        <f>+G5</f>
        <v>45245</v>
      </c>
      <c r="H9" s="1"/>
      <c r="I9" s="1"/>
      <c r="J9" s="1"/>
      <c r="M9" s="74"/>
      <c r="N9" s="75"/>
      <c r="R9" s="76"/>
    </row>
    <row r="10" spans="1:18" ht="17.25" x14ac:dyDescent="0.35">
      <c r="A10" s="1"/>
      <c r="B10" s="11" t="s">
        <v>62</v>
      </c>
      <c r="C10" s="11"/>
      <c r="D10" s="11"/>
      <c r="E10" s="11" t="s">
        <v>17</v>
      </c>
      <c r="F10" s="11"/>
      <c r="G10" s="58">
        <f>+G6</f>
        <v>69</v>
      </c>
      <c r="H10" s="1"/>
      <c r="I10" s="1"/>
      <c r="J10" s="1"/>
      <c r="M10" s="74"/>
      <c r="N10" s="75"/>
      <c r="R10" s="76"/>
    </row>
    <row r="11" spans="1:18" ht="17.25" x14ac:dyDescent="0.35">
      <c r="A11" s="1"/>
      <c r="B11" s="11" t="s">
        <v>63</v>
      </c>
      <c r="C11" s="20">
        <v>2.4500000000000001E-2</v>
      </c>
      <c r="D11" s="11"/>
      <c r="E11" s="11" t="s">
        <v>6</v>
      </c>
      <c r="F11" s="11"/>
      <c r="G11" s="35">
        <f>+E28</f>
        <v>0.4241803278688524</v>
      </c>
      <c r="H11" s="1"/>
      <c r="I11" s="1"/>
      <c r="J11" s="1"/>
      <c r="M11" s="74"/>
      <c r="N11" s="75"/>
      <c r="R11" s="76"/>
    </row>
    <row r="12" spans="1:18" ht="17.25" x14ac:dyDescent="0.35">
      <c r="A12" s="1"/>
      <c r="B12" s="59"/>
      <c r="C12" s="59"/>
      <c r="D12" s="59"/>
      <c r="E12" s="59" t="s">
        <v>7</v>
      </c>
      <c r="F12" s="59"/>
      <c r="G12" s="14"/>
      <c r="H12" s="14" t="s">
        <v>61</v>
      </c>
      <c r="I12" s="1"/>
      <c r="J12" s="1"/>
      <c r="M12" s="74"/>
      <c r="N12" s="75"/>
      <c r="R12" s="76"/>
    </row>
    <row r="13" spans="1:18" ht="17.25" x14ac:dyDescent="0.35">
      <c r="A13" s="1"/>
      <c r="B13" s="21" t="s">
        <v>2</v>
      </c>
      <c r="C13" s="21" t="s">
        <v>3</v>
      </c>
      <c r="D13" s="21" t="s">
        <v>4</v>
      </c>
      <c r="E13" s="21" t="s">
        <v>8</v>
      </c>
      <c r="F13" s="21" t="s">
        <v>10</v>
      </c>
      <c r="G13" s="21" t="s">
        <v>11</v>
      </c>
      <c r="H13" s="11" t="s">
        <v>20</v>
      </c>
      <c r="I13" s="1"/>
      <c r="J13" s="1"/>
      <c r="M13" s="74"/>
      <c r="N13" s="75"/>
      <c r="R13" s="76"/>
    </row>
    <row r="14" spans="1:18" ht="17.25" x14ac:dyDescent="0.35">
      <c r="A14" s="1"/>
      <c r="B14" s="60">
        <v>45611</v>
      </c>
      <c r="C14" s="61">
        <f>+(B14-G4)/366</f>
        <v>0.81147540983606559</v>
      </c>
      <c r="D14" s="14">
        <v>2.25</v>
      </c>
      <c r="E14" s="61">
        <f t="shared" ref="E14:E19" si="0">+D14*(1+$G$2)^-C14</f>
        <v>2.2062377880796671</v>
      </c>
      <c r="F14" s="62">
        <f t="shared" ref="F14:F19" si="1">+E14/$E$27</f>
        <v>2.2354236973225073E-2</v>
      </c>
      <c r="G14" s="61">
        <f t="shared" ref="G14:G19" si="2">+F14*C14</f>
        <v>1.8139913609420348E-2</v>
      </c>
      <c r="H14" s="61">
        <f t="shared" ref="H14:H19" si="3">+(C14^2+C14)*E14</f>
        <v>3.2430983986425046</v>
      </c>
      <c r="J14" s="1"/>
      <c r="K14" s="69"/>
      <c r="M14" s="74"/>
      <c r="N14" s="75"/>
      <c r="R14" s="76"/>
    </row>
    <row r="15" spans="1:18" ht="17.25" x14ac:dyDescent="0.35">
      <c r="A15" s="1"/>
      <c r="B15" s="57">
        <f>EDATE(B14,12)</f>
        <v>45976</v>
      </c>
      <c r="C15" s="35">
        <f>+C14+1</f>
        <v>1.8114754098360657</v>
      </c>
      <c r="D15" s="11">
        <f>+D14</f>
        <v>2.25</v>
      </c>
      <c r="E15" s="35">
        <f t="shared" si="0"/>
        <v>2.1534775871934277</v>
      </c>
      <c r="F15" s="63">
        <f t="shared" si="1"/>
        <v>2.1819655415544235E-2</v>
      </c>
      <c r="G15" s="35">
        <f t="shared" si="2"/>
        <v>3.9525769236354723E-2</v>
      </c>
      <c r="H15" s="35">
        <f t="shared" si="3"/>
        <v>10.967485994492302</v>
      </c>
      <c r="J15" s="1"/>
      <c r="M15" s="74"/>
      <c r="N15" s="75"/>
      <c r="R15" s="76"/>
    </row>
    <row r="16" spans="1:18" ht="17.25" x14ac:dyDescent="0.35">
      <c r="A16" s="1"/>
      <c r="B16" s="57">
        <f>EDATE(B15,12)</f>
        <v>46341</v>
      </c>
      <c r="C16" s="35">
        <f>+C15+1</f>
        <v>2.8114754098360657</v>
      </c>
      <c r="D16" s="11">
        <f>+D15</f>
        <v>2.25</v>
      </c>
      <c r="E16" s="35">
        <f t="shared" si="0"/>
        <v>2.1019790992615208</v>
      </c>
      <c r="F16" s="63">
        <f t="shared" si="1"/>
        <v>2.1297857897066119E-2</v>
      </c>
      <c r="G16" s="35">
        <f t="shared" si="2"/>
        <v>5.9878403759784253E-2</v>
      </c>
      <c r="H16" s="35">
        <f t="shared" si="3"/>
        <v>22.524533488088974</v>
      </c>
      <c r="J16" s="1"/>
      <c r="M16" s="74"/>
      <c r="N16" s="75"/>
      <c r="R16" s="76"/>
    </row>
    <row r="17" spans="1:18" ht="17.25" x14ac:dyDescent="0.35">
      <c r="A17" s="1"/>
      <c r="B17" s="57">
        <f>EDATE(B16,12)</f>
        <v>46706</v>
      </c>
      <c r="C17" s="35">
        <f>+C16+1</f>
        <v>3.8114754098360657</v>
      </c>
      <c r="D17" s="11">
        <f t="shared" ref="D17:D18" si="4">+D16</f>
        <v>2.25</v>
      </c>
      <c r="E17" s="35">
        <f t="shared" si="0"/>
        <v>2.0517121515485806</v>
      </c>
      <c r="F17" s="63">
        <f t="shared" si="1"/>
        <v>2.0788538698942038E-2</v>
      </c>
      <c r="G17" s="35">
        <f t="shared" si="2"/>
        <v>7.923500405744302E-2</v>
      </c>
      <c r="H17" s="35">
        <f t="shared" si="3"/>
        <v>37.625980269144243</v>
      </c>
      <c r="J17" s="1"/>
      <c r="M17" s="74"/>
      <c r="N17" s="75"/>
      <c r="R17" s="76"/>
    </row>
    <row r="18" spans="1:18" ht="17.25" x14ac:dyDescent="0.35">
      <c r="A18" s="1"/>
      <c r="B18" s="57">
        <f>EDATE(B17,12)</f>
        <v>47072</v>
      </c>
      <c r="C18" s="35">
        <f>+C17+1</f>
        <v>4.8114754098360653</v>
      </c>
      <c r="D18" s="11">
        <f t="shared" si="4"/>
        <v>2.25</v>
      </c>
      <c r="E18" s="35">
        <f t="shared" si="0"/>
        <v>2.0026472928731875</v>
      </c>
      <c r="F18" s="63">
        <f t="shared" si="1"/>
        <v>2.02913994133158E-2</v>
      </c>
      <c r="G18" s="35">
        <f t="shared" si="2"/>
        <v>9.7631569308330932E-2</v>
      </c>
      <c r="H18" s="35">
        <f t="shared" si="3"/>
        <v>55.997565055753945</v>
      </c>
      <c r="J18" s="1"/>
      <c r="M18" s="74"/>
      <c r="N18" s="75"/>
      <c r="R18" s="76"/>
    </row>
    <row r="19" spans="1:18" ht="17.25" x14ac:dyDescent="0.35">
      <c r="A19" s="1"/>
      <c r="B19" s="57">
        <f>EDATE(B18,12)</f>
        <v>47437</v>
      </c>
      <c r="C19" s="35">
        <f>+C18+1</f>
        <v>5.8114754098360653</v>
      </c>
      <c r="D19" s="11">
        <f>+D18</f>
        <v>2.25</v>
      </c>
      <c r="E19" s="35">
        <f t="shared" si="0"/>
        <v>1.9547557763525503</v>
      </c>
      <c r="F19" s="63">
        <f t="shared" si="1"/>
        <v>1.9806148768487852E-2</v>
      </c>
      <c r="G19" s="35">
        <f t="shared" si="2"/>
        <v>0.11510294653162202</v>
      </c>
      <c r="H19" s="35">
        <f t="shared" si="3"/>
        <v>77.378463689573962</v>
      </c>
      <c r="J19" s="1"/>
      <c r="M19" s="74"/>
      <c r="N19" s="75"/>
      <c r="R19" s="76"/>
    </row>
    <row r="20" spans="1:18" ht="17.25" x14ac:dyDescent="0.35">
      <c r="A20" s="1"/>
      <c r="B20" s="57">
        <f t="shared" ref="B20:B23" si="5">EDATE(B19,12)</f>
        <v>47802</v>
      </c>
      <c r="C20" s="35">
        <f t="shared" ref="C20:C23" si="6">+C19+1</f>
        <v>6.8114754098360653</v>
      </c>
      <c r="D20" s="11">
        <f t="shared" ref="D20:D22" si="7">+D19</f>
        <v>2.25</v>
      </c>
      <c r="E20" s="35">
        <f t="shared" ref="E20:E23" si="8">+D20*(1+$G$2)^-C20</f>
        <v>1.9080095425598342</v>
      </c>
      <c r="F20" s="63">
        <f t="shared" ref="F20:F23" si="9">+E20/$E$27</f>
        <v>1.9332502458260469E-2</v>
      </c>
      <c r="G20" s="35">
        <f t="shared" ref="G20:G23" si="10">+F20*C20</f>
        <v>0.13168286510503646</v>
      </c>
      <c r="H20" s="35">
        <f t="shared" ref="H20:H23" si="11">+(C20^2+C20)*E20</f>
        <v>101.52074718916035</v>
      </c>
      <c r="M20" s="74"/>
      <c r="N20" s="75"/>
      <c r="R20" s="76"/>
    </row>
    <row r="21" spans="1:18" ht="17.25" x14ac:dyDescent="0.35">
      <c r="A21" s="1"/>
      <c r="B21" s="57">
        <f t="shared" si="5"/>
        <v>48167</v>
      </c>
      <c r="C21" s="35">
        <f t="shared" si="6"/>
        <v>7.8114754098360653</v>
      </c>
      <c r="D21" s="11">
        <f t="shared" si="7"/>
        <v>2.25</v>
      </c>
      <c r="E21" s="35">
        <f t="shared" si="8"/>
        <v>1.8623812030842699</v>
      </c>
      <c r="F21" s="63">
        <f t="shared" si="9"/>
        <v>1.8870182975364053E-2</v>
      </c>
      <c r="G21" s="35">
        <f t="shared" si="10"/>
        <v>0.14740397029116345</v>
      </c>
      <c r="H21" s="35">
        <f t="shared" si="11"/>
        <v>128.1888593811984</v>
      </c>
      <c r="M21" s="74"/>
      <c r="N21" s="75"/>
      <c r="R21" s="76"/>
    </row>
    <row r="22" spans="1:18" ht="17.25" x14ac:dyDescent="0.35">
      <c r="A22" s="1"/>
      <c r="B22" s="57">
        <f t="shared" si="5"/>
        <v>48533</v>
      </c>
      <c r="C22" s="35">
        <f t="shared" si="6"/>
        <v>8.8114754098360653</v>
      </c>
      <c r="D22" s="11">
        <f t="shared" si="7"/>
        <v>2.25</v>
      </c>
      <c r="E22" s="35">
        <f t="shared" si="8"/>
        <v>1.8178440244844019</v>
      </c>
      <c r="F22" s="63">
        <f t="shared" si="9"/>
        <v>1.8418919448866814E-2</v>
      </c>
      <c r="G22" s="35">
        <f t="shared" si="10"/>
        <v>0.16229785579944117</v>
      </c>
      <c r="H22" s="35">
        <f t="shared" si="11"/>
        <v>157.15911345108276</v>
      </c>
      <c r="L22" s="8"/>
      <c r="M22" s="74"/>
      <c r="N22" s="75"/>
      <c r="R22" s="76"/>
    </row>
    <row r="23" spans="1:18" ht="17.25" x14ac:dyDescent="0.35">
      <c r="A23" s="1"/>
      <c r="B23" s="57">
        <f t="shared" si="5"/>
        <v>48898</v>
      </c>
      <c r="C23" s="35">
        <f t="shared" si="6"/>
        <v>9.8114754098360653</v>
      </c>
      <c r="D23" s="11">
        <v>102.25</v>
      </c>
      <c r="E23" s="35">
        <f t="shared" si="8"/>
        <v>80.635345807073421</v>
      </c>
      <c r="F23" s="63">
        <f t="shared" si="9"/>
        <v>0.81702055795092754</v>
      </c>
      <c r="G23" s="35">
        <f t="shared" si="10"/>
        <v>8.0161771136660676</v>
      </c>
      <c r="H23" s="35">
        <f t="shared" si="11"/>
        <v>8553.5172856810823</v>
      </c>
      <c r="M23" s="74"/>
      <c r="N23" s="75"/>
      <c r="R23" s="76"/>
    </row>
    <row r="24" spans="1:18" ht="17.25" x14ac:dyDescent="0.35">
      <c r="A24" s="1"/>
      <c r="H24" s="56"/>
      <c r="M24" s="74"/>
      <c r="N24" s="75"/>
      <c r="R24" s="76"/>
    </row>
    <row r="25" spans="1:18" ht="17.25" x14ac:dyDescent="0.35">
      <c r="A25" s="1"/>
      <c r="B25" s="65"/>
      <c r="C25" s="25"/>
      <c r="D25" s="66" t="s">
        <v>15</v>
      </c>
      <c r="E25" s="37">
        <f>SUM(E14:E23)</f>
        <v>98.694390272510859</v>
      </c>
      <c r="F25" s="67">
        <f>SUM(F14:F23)</f>
        <v>1</v>
      </c>
      <c r="G25" s="37">
        <f>SUM(G14:G23)</f>
        <v>8.867075411364663</v>
      </c>
      <c r="H25" s="37">
        <f>SUM(H14:H23)</f>
        <v>9148.1231325982189</v>
      </c>
      <c r="J25" s="1"/>
      <c r="M25" s="74"/>
      <c r="N25" s="75"/>
      <c r="R25" s="76"/>
    </row>
    <row r="26" spans="1:18" ht="17.25" x14ac:dyDescent="0.35">
      <c r="A26" s="1"/>
      <c r="B26" s="57"/>
      <c r="C26" s="56"/>
      <c r="D26" s="56"/>
      <c r="E26" s="56"/>
      <c r="F26" s="11"/>
      <c r="G26" s="11"/>
      <c r="H26" s="3"/>
      <c r="I26" s="1"/>
      <c r="J26" s="1"/>
      <c r="M26" s="74"/>
      <c r="N26" s="75"/>
      <c r="R26" s="76"/>
    </row>
    <row r="27" spans="1:18" ht="17.25" x14ac:dyDescent="0.35">
      <c r="A27" s="1"/>
      <c r="B27" s="14" t="s">
        <v>18</v>
      </c>
      <c r="C27" s="59"/>
      <c r="D27" s="14"/>
      <c r="E27" s="61">
        <f>+E25</f>
        <v>98.694390272510859</v>
      </c>
      <c r="F27" s="11"/>
      <c r="G27" s="11"/>
      <c r="H27" s="1"/>
      <c r="I27" s="1"/>
      <c r="J27" s="1"/>
      <c r="M27" s="74"/>
      <c r="N27" s="75"/>
      <c r="R27" s="76"/>
    </row>
    <row r="28" spans="1:18" ht="17.25" x14ac:dyDescent="0.35">
      <c r="A28" s="1"/>
      <c r="B28" s="11" t="s">
        <v>6</v>
      </c>
      <c r="C28" s="56"/>
      <c r="D28" s="11"/>
      <c r="E28" s="35">
        <f>+G6/366*2.25</f>
        <v>0.4241803278688524</v>
      </c>
      <c r="F28" s="11"/>
      <c r="G28" s="11"/>
      <c r="H28" s="5"/>
      <c r="I28" s="1"/>
      <c r="J28" s="1"/>
      <c r="M28" s="74"/>
      <c r="N28" s="75"/>
      <c r="R28" s="76"/>
    </row>
    <row r="29" spans="1:18" ht="17.25" x14ac:dyDescent="0.35">
      <c r="A29" s="1"/>
      <c r="B29" s="21" t="s">
        <v>19</v>
      </c>
      <c r="C29" s="68"/>
      <c r="D29" s="21"/>
      <c r="E29" s="64">
        <f>+E27-E28</f>
        <v>98.270209944642005</v>
      </c>
      <c r="F29" s="11"/>
      <c r="G29" s="11"/>
      <c r="H29" s="1"/>
      <c r="I29" s="1"/>
      <c r="J29" s="1"/>
      <c r="M29" s="74"/>
      <c r="N29" s="75"/>
      <c r="R29" s="76"/>
    </row>
    <row r="30" spans="1:18" ht="17.25" x14ac:dyDescent="0.35">
      <c r="A30" s="1"/>
      <c r="B30" s="1"/>
      <c r="D30" s="1"/>
      <c r="E30" s="1"/>
      <c r="F30" s="1"/>
      <c r="G30" s="1"/>
      <c r="H30" s="1"/>
      <c r="I30" s="1"/>
      <c r="J30" s="1"/>
      <c r="M30" s="74"/>
      <c r="N30" s="75"/>
      <c r="R30" s="76"/>
    </row>
    <row r="31" spans="1:18" ht="17.25" x14ac:dyDescent="0.35">
      <c r="B31" s="14" t="s">
        <v>12</v>
      </c>
      <c r="C31" s="59"/>
      <c r="D31" s="14"/>
      <c r="E31" s="61">
        <f>+G25</f>
        <v>8.867075411364663</v>
      </c>
      <c r="F31" s="1"/>
      <c r="G31" s="1"/>
      <c r="H31" s="1"/>
      <c r="I31" s="1"/>
      <c r="J31" s="5"/>
      <c r="M31" s="74"/>
      <c r="N31" s="75"/>
      <c r="R31" s="76"/>
    </row>
    <row r="32" spans="1:18" ht="17.25" x14ac:dyDescent="0.35">
      <c r="B32" s="11" t="s">
        <v>13</v>
      </c>
      <c r="C32" s="56"/>
      <c r="D32" s="11"/>
      <c r="E32" s="35">
        <f>+E31/(1+G2)</f>
        <v>8.6550272438893732</v>
      </c>
      <c r="F32" s="1"/>
      <c r="G32" s="1"/>
      <c r="H32" s="1"/>
      <c r="I32" s="1"/>
      <c r="J32" s="5"/>
      <c r="M32" s="74"/>
      <c r="N32" s="75"/>
      <c r="R32" s="76"/>
    </row>
    <row r="33" spans="2:18" ht="17.25" x14ac:dyDescent="0.35">
      <c r="B33" s="21" t="s">
        <v>14</v>
      </c>
      <c r="C33" s="68"/>
      <c r="D33" s="21"/>
      <c r="E33" s="64">
        <f>+E32*E27/100</f>
        <v>8.5420263662763176</v>
      </c>
      <c r="F33" s="1"/>
      <c r="G33" s="1"/>
      <c r="H33" s="1"/>
      <c r="I33" s="1"/>
      <c r="J33" s="1"/>
      <c r="M33" s="74"/>
      <c r="N33" s="75"/>
      <c r="R33" s="76"/>
    </row>
    <row r="34" spans="2:18" ht="17.25" x14ac:dyDescent="0.35">
      <c r="B34" s="1"/>
      <c r="C34" s="1"/>
      <c r="D34" s="1"/>
      <c r="E34" s="1"/>
      <c r="F34" s="1"/>
      <c r="G34" s="1"/>
      <c r="H34" s="1"/>
      <c r="I34" s="1"/>
      <c r="J34" s="1"/>
      <c r="M34" s="74"/>
      <c r="N34" s="75"/>
      <c r="R34" s="76"/>
    </row>
    <row r="35" spans="2:18" ht="16.5" x14ac:dyDescent="0.3">
      <c r="B35" s="1"/>
      <c r="C35" s="10"/>
      <c r="D35" s="1"/>
      <c r="E35" s="1"/>
      <c r="F35" s="1"/>
      <c r="G35" s="1"/>
      <c r="H35" s="9"/>
      <c r="I35" s="1"/>
      <c r="J35" s="1"/>
      <c r="M35" s="8"/>
      <c r="R35" s="76"/>
    </row>
    <row r="36" spans="2:18" ht="17.25" x14ac:dyDescent="0.35">
      <c r="B36" s="25" t="s">
        <v>65</v>
      </c>
      <c r="C36" s="71"/>
      <c r="D36" s="25"/>
      <c r="E36" s="37">
        <f>+H25/(1+C11)^2*0.01^2</f>
        <v>0.87158164573590957</v>
      </c>
      <c r="G36" s="1"/>
      <c r="M36" s="8"/>
      <c r="R36" s="76"/>
    </row>
    <row r="37" spans="2:18" ht="17.25" x14ac:dyDescent="0.35">
      <c r="B37" s="78"/>
      <c r="C37" s="79"/>
      <c r="D37" s="35"/>
      <c r="E37" s="35"/>
      <c r="F37" s="1"/>
      <c r="G37" s="5"/>
      <c r="M37" s="8"/>
    </row>
    <row r="38" spans="2:18" ht="17.25" x14ac:dyDescent="0.35">
      <c r="B38" s="78"/>
      <c r="C38" s="79"/>
      <c r="D38" s="35"/>
      <c r="E38" s="35"/>
      <c r="F38" s="1"/>
      <c r="G38" s="5"/>
      <c r="M38" s="8"/>
    </row>
    <row r="39" spans="2:18" x14ac:dyDescent="0.25">
      <c r="M39" s="8"/>
    </row>
    <row r="40" spans="2:18" x14ac:dyDescent="0.25">
      <c r="M40" s="8"/>
    </row>
    <row r="43" spans="2:18" x14ac:dyDescent="0.25">
      <c r="D43" s="7"/>
      <c r="E43" s="6"/>
      <c r="G43" s="7"/>
      <c r="H43" s="6"/>
    </row>
    <row r="44" spans="2:18" x14ac:dyDescent="0.25">
      <c r="D44" s="7"/>
      <c r="E44" s="6"/>
      <c r="G44" s="7"/>
    </row>
    <row r="45" spans="2:18" x14ac:dyDescent="0.25">
      <c r="D45" s="7"/>
      <c r="E45" s="6"/>
      <c r="G45" s="7"/>
    </row>
    <row r="46" spans="2:18" x14ac:dyDescent="0.25">
      <c r="D46" s="7"/>
      <c r="E46" s="6"/>
      <c r="G46" s="7"/>
    </row>
    <row r="47" spans="2:18" x14ac:dyDescent="0.25">
      <c r="D47" s="7"/>
      <c r="E47" s="6"/>
      <c r="G47" s="7"/>
    </row>
    <row r="48" spans="2:18" x14ac:dyDescent="0.25">
      <c r="D48" s="7"/>
      <c r="E48" s="6"/>
      <c r="G48" s="7"/>
    </row>
    <row r="49" spans="4:7" x14ac:dyDescent="0.25">
      <c r="D49" s="7"/>
      <c r="E49" s="6"/>
      <c r="G49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K13"/>
  <sheetViews>
    <sheetView showGridLines="0" topLeftCell="A5" workbookViewId="0">
      <selection activeCell="J16" sqref="J16"/>
    </sheetView>
  </sheetViews>
  <sheetFormatPr defaultRowHeight="15" x14ac:dyDescent="0.25"/>
  <cols>
    <col min="3" max="3" width="11.28515625" customWidth="1"/>
    <col min="4" max="4" width="8.28515625" bestFit="1" customWidth="1"/>
    <col min="5" max="5" width="10.140625" customWidth="1"/>
    <col min="6" max="6" width="9" customWidth="1"/>
    <col min="7" max="7" width="12.28515625" customWidth="1"/>
    <col min="8" max="8" width="10.85546875" customWidth="1"/>
    <col min="9" max="9" width="10.42578125" customWidth="1"/>
    <col min="11" max="11" width="12.140625" customWidth="1"/>
  </cols>
  <sheetData>
    <row r="2" spans="3:11" x14ac:dyDescent="0.25">
      <c r="C2" s="43">
        <v>2.9716826666423182E-2</v>
      </c>
    </row>
    <row r="5" spans="3:11" ht="16.5" x14ac:dyDescent="0.35">
      <c r="C5" s="11" t="s">
        <v>54</v>
      </c>
    </row>
    <row r="6" spans="3:11" ht="16.5" x14ac:dyDescent="0.35">
      <c r="C6" s="14"/>
      <c r="D6" s="14" t="s">
        <v>39</v>
      </c>
      <c r="E6" s="14" t="s">
        <v>38</v>
      </c>
      <c r="F6" s="80" t="s">
        <v>7</v>
      </c>
      <c r="G6" s="81"/>
      <c r="H6" s="80" t="s">
        <v>10</v>
      </c>
      <c r="I6" s="81"/>
      <c r="J6" s="80" t="s">
        <v>43</v>
      </c>
      <c r="K6" s="81"/>
    </row>
    <row r="7" spans="3:11" ht="16.5" x14ac:dyDescent="0.35">
      <c r="C7" s="11" t="s">
        <v>41</v>
      </c>
      <c r="D7" s="11" t="s">
        <v>40</v>
      </c>
      <c r="E7" s="11" t="s">
        <v>26</v>
      </c>
      <c r="F7" s="53" t="s">
        <v>44</v>
      </c>
      <c r="G7" s="54" t="s">
        <v>42</v>
      </c>
      <c r="H7" s="53" t="s">
        <v>44</v>
      </c>
      <c r="I7" s="54" t="s">
        <v>42</v>
      </c>
      <c r="J7" s="53" t="s">
        <v>44</v>
      </c>
      <c r="K7" s="54" t="s">
        <v>42</v>
      </c>
    </row>
    <row r="8" spans="3:11" ht="16.5" x14ac:dyDescent="0.35">
      <c r="C8" s="21"/>
      <c r="D8" s="21"/>
      <c r="E8" s="21"/>
      <c r="F8" s="44" t="s">
        <v>55</v>
      </c>
      <c r="G8" s="55" t="s">
        <v>56</v>
      </c>
      <c r="H8" s="44" t="s">
        <v>55</v>
      </c>
      <c r="I8" s="55" t="s">
        <v>56</v>
      </c>
      <c r="J8" s="44" t="s">
        <v>55</v>
      </c>
      <c r="K8" s="55" t="s">
        <v>56</v>
      </c>
    </row>
    <row r="9" spans="3:11" ht="16.5" x14ac:dyDescent="0.35">
      <c r="C9" s="11">
        <v>1</v>
      </c>
      <c r="D9" s="11">
        <v>2</v>
      </c>
      <c r="E9" s="33">
        <v>0.01</v>
      </c>
      <c r="F9" s="45">
        <f>+D9*(1+$C$2)^-C9</f>
        <v>1.942281555672684</v>
      </c>
      <c r="G9" s="51">
        <f>+D9*(1+E9)^-C9</f>
        <v>1.9801980198019802</v>
      </c>
      <c r="H9" s="47">
        <f>+F9/$F$13</f>
        <v>1.9972048835233666E-2</v>
      </c>
      <c r="I9" s="48">
        <f>+G9/$G$13</f>
        <v>2.0362564691700492E-2</v>
      </c>
      <c r="J9" s="45">
        <f>+H9*C9</f>
        <v>1.9972048835233666E-2</v>
      </c>
      <c r="K9" s="51">
        <f>+I9*C9</f>
        <v>2.0362564691700492E-2</v>
      </c>
    </row>
    <row r="10" spans="3:11" ht="16.5" x14ac:dyDescent="0.35">
      <c r="C10" s="11">
        <v>2</v>
      </c>
      <c r="D10" s="11">
        <v>2</v>
      </c>
      <c r="E10" s="33">
        <v>0.02</v>
      </c>
      <c r="F10" s="45">
        <f>+D10*(1+$C$2)^-C10</f>
        <v>1.886228820753151</v>
      </c>
      <c r="G10" s="51">
        <f>+D10*(1+E10)^-C10</f>
        <v>1.9223375624759709</v>
      </c>
      <c r="H10" s="47">
        <f>+F10/$F$13</f>
        <v>1.9395671040834232E-2</v>
      </c>
      <c r="I10" s="48">
        <f>+G10/$G$13</f>
        <v>1.9767580102477412E-2</v>
      </c>
      <c r="J10" s="45">
        <f>+H10*C10</f>
        <v>3.8791342081668463E-2</v>
      </c>
      <c r="K10" s="51">
        <f>+I10*C10</f>
        <v>3.9535160204954824E-2</v>
      </c>
    </row>
    <row r="11" spans="3:11" ht="16.5" x14ac:dyDescent="0.35">
      <c r="C11" s="21">
        <v>3</v>
      </c>
      <c r="D11" s="21">
        <v>102</v>
      </c>
      <c r="E11" s="34">
        <v>0.03</v>
      </c>
      <c r="F11" s="46">
        <f>+D11*(1+$C$2)^-C11</f>
        <v>93.421479932340603</v>
      </c>
      <c r="G11" s="52">
        <f>+D11*(1+E11)^-C11</f>
        <v>93.34444925402228</v>
      </c>
      <c r="H11" s="49">
        <f>+F11/$F$13</f>
        <v>0.96063228012393209</v>
      </c>
      <c r="I11" s="50">
        <f>+G11/$G$13</f>
        <v>0.95986985520582213</v>
      </c>
      <c r="J11" s="46">
        <f>+H11*C11</f>
        <v>2.8818968403717964</v>
      </c>
      <c r="K11" s="52">
        <f>+I11*C11</f>
        <v>2.8796095656174665</v>
      </c>
    </row>
    <row r="12" spans="3:11" ht="16.5" x14ac:dyDescent="0.35">
      <c r="C12" s="11"/>
      <c r="D12" s="11"/>
      <c r="E12" s="11"/>
      <c r="F12" s="19"/>
      <c r="G12" s="11"/>
      <c r="H12" s="11"/>
      <c r="I12" s="11"/>
      <c r="J12" s="35"/>
      <c r="K12" s="35"/>
    </row>
    <row r="13" spans="3:11" ht="16.5" x14ac:dyDescent="0.35">
      <c r="C13" s="11"/>
      <c r="D13" s="11"/>
      <c r="E13" s="25" t="s">
        <v>45</v>
      </c>
      <c r="F13" s="36">
        <f>SUM(F9:F11)</f>
        <v>97.249990308766442</v>
      </c>
      <c r="G13" s="36">
        <f>SUM(G9:G11)</f>
        <v>97.246984836300228</v>
      </c>
      <c r="H13" s="36"/>
      <c r="I13" s="36" t="s">
        <v>12</v>
      </c>
      <c r="J13" s="37">
        <f>SUM(J9:J11)</f>
        <v>2.9406602312886987</v>
      </c>
      <c r="K13" s="37">
        <f>SUM(K9:K11)</f>
        <v>2.939507290514122</v>
      </c>
    </row>
  </sheetData>
  <mergeCells count="3">
    <mergeCell ref="F6:G6"/>
    <mergeCell ref="H6:I6"/>
    <mergeCell ref="J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N38"/>
  <sheetViews>
    <sheetView showGridLines="0" topLeftCell="A12" workbookViewId="0">
      <selection activeCell="M19" sqref="M19"/>
    </sheetView>
  </sheetViews>
  <sheetFormatPr defaultRowHeight="15" x14ac:dyDescent="0.25"/>
  <sheetData>
    <row r="11" spans="2:14" ht="16.5" x14ac:dyDescent="0.3">
      <c r="B11" s="38" t="s">
        <v>41</v>
      </c>
      <c r="C11" s="3" t="s">
        <v>38</v>
      </c>
      <c r="D11" s="2"/>
      <c r="E11" s="2"/>
      <c r="F11" s="3" t="s">
        <v>39</v>
      </c>
      <c r="G11" s="3" t="s">
        <v>46</v>
      </c>
      <c r="H11" s="3" t="s">
        <v>46</v>
      </c>
      <c r="I11" s="3" t="s">
        <v>46</v>
      </c>
      <c r="J11" s="1"/>
      <c r="K11" s="1"/>
      <c r="L11" s="1"/>
      <c r="M11" s="1"/>
      <c r="N11" s="1"/>
    </row>
    <row r="12" spans="2:14" ht="16.5" x14ac:dyDescent="0.3">
      <c r="B12" s="39" t="s">
        <v>47</v>
      </c>
      <c r="C12" s="4" t="s">
        <v>48</v>
      </c>
      <c r="D12" s="4" t="s">
        <v>57</v>
      </c>
      <c r="E12" s="4" t="s">
        <v>58</v>
      </c>
      <c r="F12" s="4" t="s">
        <v>40</v>
      </c>
      <c r="G12" s="4" t="s">
        <v>50</v>
      </c>
      <c r="H12" s="4" t="s">
        <v>51</v>
      </c>
      <c r="I12" s="4" t="s">
        <v>49</v>
      </c>
      <c r="J12" s="1"/>
      <c r="K12" s="1"/>
      <c r="L12" s="1"/>
      <c r="M12" s="1"/>
      <c r="N12" s="1"/>
    </row>
    <row r="13" spans="2:14" ht="16.5" x14ac:dyDescent="0.3">
      <c r="B13" s="3">
        <v>1</v>
      </c>
      <c r="C13" s="40">
        <v>0.01</v>
      </c>
      <c r="D13" s="40">
        <f>+C13+1%</f>
        <v>0.02</v>
      </c>
      <c r="E13" s="40">
        <f>+C13</f>
        <v>0.01</v>
      </c>
      <c r="F13" s="3">
        <v>2</v>
      </c>
      <c r="G13" s="29">
        <f>+F13*(1+C13)^-B13</f>
        <v>1.9801980198019802</v>
      </c>
      <c r="H13" s="29">
        <f>+F13*(1+D13)^-B13</f>
        <v>1.9607843137254901</v>
      </c>
      <c r="I13" s="29">
        <f>+F13*(1+E13)^-B13</f>
        <v>1.9801980198019802</v>
      </c>
      <c r="J13" s="1"/>
      <c r="K13" s="1"/>
      <c r="L13" s="1"/>
      <c r="M13" s="1"/>
      <c r="N13" s="1"/>
    </row>
    <row r="14" spans="2:14" ht="16.5" x14ac:dyDescent="0.3">
      <c r="B14" s="1">
        <v>2</v>
      </c>
      <c r="C14" s="41">
        <v>0.02</v>
      </c>
      <c r="D14" s="41">
        <f>+C14+0.5%</f>
        <v>2.5000000000000001E-2</v>
      </c>
      <c r="E14" s="41">
        <f>+D14</f>
        <v>2.5000000000000001E-2</v>
      </c>
      <c r="F14" s="1">
        <v>2</v>
      </c>
      <c r="G14" s="30">
        <f>+F14*(1+C14)^-B14</f>
        <v>1.9223375624759709</v>
      </c>
      <c r="H14" s="30">
        <f>+F14*(1+D14)^-B14</f>
        <v>1.9036287923854849</v>
      </c>
      <c r="I14" s="30">
        <f>+F14*(1+E14)^-B14</f>
        <v>1.9036287923854849</v>
      </c>
      <c r="J14" s="1"/>
      <c r="K14" s="1"/>
      <c r="L14" s="1"/>
      <c r="M14" s="1"/>
      <c r="N14" s="1"/>
    </row>
    <row r="15" spans="2:14" ht="16.5" x14ac:dyDescent="0.3">
      <c r="B15" s="4">
        <v>3</v>
      </c>
      <c r="C15" s="42">
        <v>0.03</v>
      </c>
      <c r="D15" s="42">
        <f>+C15</f>
        <v>0.03</v>
      </c>
      <c r="E15" s="42">
        <f>+D15+1%</f>
        <v>0.04</v>
      </c>
      <c r="F15" s="4">
        <v>102</v>
      </c>
      <c r="G15" s="31">
        <f>+F15*(1+C15)^-B15</f>
        <v>93.34444925402228</v>
      </c>
      <c r="H15" s="31">
        <f>+F15*(1+D15)^-B15</f>
        <v>93.34444925402228</v>
      </c>
      <c r="I15" s="31">
        <f>+F15*(1+E15)^-B15</f>
        <v>90.677628584433322</v>
      </c>
      <c r="J15" s="1"/>
      <c r="K15" s="1"/>
      <c r="L15" s="1"/>
      <c r="M15" s="1"/>
      <c r="N15" s="1"/>
    </row>
    <row r="16" spans="2:14" ht="16.5" x14ac:dyDescent="0.3">
      <c r="B16" s="1"/>
      <c r="C16" s="1"/>
      <c r="D16" s="1"/>
      <c r="E16" s="1"/>
      <c r="F16" s="1"/>
      <c r="G16" s="30"/>
      <c r="H16" s="30"/>
      <c r="I16" s="30"/>
      <c r="J16" s="1"/>
      <c r="K16" s="1"/>
      <c r="L16" s="1"/>
      <c r="M16" s="1"/>
      <c r="N16" s="1"/>
    </row>
    <row r="17" spans="2:14" ht="16.5" x14ac:dyDescent="0.3">
      <c r="B17" s="1"/>
      <c r="C17" s="1"/>
      <c r="D17" s="1"/>
      <c r="E17" s="1" t="s">
        <v>52</v>
      </c>
      <c r="F17" s="1"/>
      <c r="G17" s="32">
        <f>SUM(G13:G15)</f>
        <v>97.246984836300228</v>
      </c>
      <c r="H17" s="32">
        <f>SUM(H13:H15)</f>
        <v>97.208862360133253</v>
      </c>
      <c r="I17" s="32">
        <f>SUM(I13:I15)</f>
        <v>94.561455396620786</v>
      </c>
      <c r="J17" s="1"/>
      <c r="K17" s="1"/>
      <c r="L17" s="1"/>
      <c r="M17" s="1"/>
      <c r="N17" s="1"/>
    </row>
    <row r="18" spans="2:14" ht="16.5" x14ac:dyDescent="0.3">
      <c r="B18" s="1"/>
      <c r="C18" s="1"/>
      <c r="D18" s="1"/>
      <c r="E18" s="1"/>
      <c r="F18" s="1" t="s">
        <v>53</v>
      </c>
      <c r="G18" s="1"/>
      <c r="H18" s="32">
        <f>+H17-G17</f>
        <v>-3.8122476166975616E-2</v>
      </c>
      <c r="I18" s="32">
        <f>+I17-G17</f>
        <v>-2.685529439679442</v>
      </c>
      <c r="J18" s="1"/>
      <c r="K18" s="1"/>
      <c r="L18" s="1"/>
      <c r="M18" s="1"/>
      <c r="N18" s="1"/>
    </row>
    <row r="19" spans="2:14" ht="16.5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6.5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6.5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6.5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16.5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ht="16.5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16.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16.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ht="16.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16.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ht="16.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ht="16.5" x14ac:dyDescent="0.3">
      <c r="B30" s="1"/>
      <c r="C30" s="1"/>
      <c r="D30" s="1"/>
      <c r="E30" s="1"/>
      <c r="F30" s="1"/>
      <c r="G30" s="1">
        <f>2.6*10^0.5*3</f>
        <v>24.665765749313366</v>
      </c>
      <c r="H30" s="1"/>
      <c r="I30" s="1"/>
      <c r="J30" s="1"/>
      <c r="K30" s="1"/>
      <c r="L30" s="1"/>
      <c r="M30" s="1"/>
      <c r="N30" s="1"/>
    </row>
    <row r="31" spans="2:14" ht="16.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16.5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16.5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6.5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6.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16.5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16.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6.5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Tabel 2.1</vt:lpstr>
      <vt:lpstr>Tabel 2.4</vt:lpstr>
      <vt:lpstr>Tabel 2.3</vt:lpstr>
      <vt:lpstr>Beregninger til figur 2.6</vt:lpstr>
      <vt:lpstr>Figur 2.9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</dc:creator>
  <cp:lastModifiedBy>Rasmus Peter Ambrosius Løvgreen</cp:lastModifiedBy>
  <cp:lastPrinted>2024-01-21T15:25:24Z</cp:lastPrinted>
  <dcterms:created xsi:type="dcterms:W3CDTF">2012-06-05T09:10:51Z</dcterms:created>
  <dcterms:modified xsi:type="dcterms:W3CDTF">2024-07-09T07:29:36Z</dcterms:modified>
</cp:coreProperties>
</file>